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zgh-my.sharepoint.com/personal/msikic_zgh_hr/Documents/2. FINANCE&amp;REPORTING/1. Budgets-cashflows/a) Budgets-cashflows quarterly/Nabava/"/>
    </mc:Choice>
  </mc:AlternateContent>
  <xr:revisionPtr revIDLastSave="4" documentId="8_{D5798D5D-6043-4222-8E7F-7B25A2EF5372}" xr6:coauthVersionLast="47" xr6:coauthVersionMax="47" xr10:uidLastSave="{DAAEABBA-D806-471E-85CC-11C0786D1736}"/>
  <bookViews>
    <workbookView xWindow="-120" yWindow="-120" windowWidth="29040" windowHeight="15840" tabRatio="878" xr2:uid="{00000000-000D-0000-FFFF-FFFF00000000}"/>
  </bookViews>
  <sheets>
    <sheet name="n 84" sheetId="28" r:id="rId1"/>
    <sheet name="n 92" sheetId="3" r:id="rId2"/>
    <sheet name="n 105" sheetId="2" r:id="rId3"/>
    <sheet name="n 111" sheetId="4" r:id="rId4"/>
    <sheet name="n 114" sheetId="5" r:id="rId5"/>
    <sheet name="n 120" sheetId="6" r:id="rId6"/>
    <sheet name="n 125" sheetId="7" r:id="rId7"/>
    <sheet name="n 133" sheetId="8" r:id="rId8"/>
    <sheet name="n 139" sheetId="9" r:id="rId9"/>
    <sheet name="n 143" sheetId="10" r:id="rId10"/>
    <sheet name="n 156" sheetId="13" r:id="rId11"/>
    <sheet name="n 160" sheetId="14" r:id="rId12"/>
    <sheet name="n 170" sheetId="15" r:id="rId13"/>
    <sheet name="n 171" sheetId="16" r:id="rId14"/>
    <sheet name="n 180" sheetId="17" r:id="rId15"/>
    <sheet name="n 183" sheetId="18" r:id="rId16"/>
    <sheet name="n 186" sheetId="19" r:id="rId17"/>
    <sheet name="n 209" sheetId="20" r:id="rId18"/>
    <sheet name="n 210" sheetId="21" r:id="rId19"/>
    <sheet name="n 211" sheetId="22" r:id="rId20"/>
    <sheet name="n 213" sheetId="26" r:id="rId21"/>
    <sheet name="n 218" sheetId="23" r:id="rId22"/>
    <sheet name="n 219" sheetId="27" r:id="rId23"/>
    <sheet name="n 227" sheetId="24" r:id="rId24"/>
    <sheet name="n 228" sheetId="25" r:id="rId25"/>
  </sheets>
  <definedNames>
    <definedName name="_xlnm.Print_Area" localSheetId="5">'n 120'!$A$1:$J$15</definedName>
    <definedName name="_xlnm.Print_Area" localSheetId="6">'n 125'!$A$1:$J$88</definedName>
    <definedName name="_xlnm.Print_Area" localSheetId="7">'n 133'!$A$1:$J$13</definedName>
    <definedName name="_xlnm.Print_Area" localSheetId="11">'n 160'!$A$1:$J$13</definedName>
    <definedName name="_xlnm.Print_Area" localSheetId="16">'n 186'!$A$1:$J$24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8" i="19" l="1"/>
  <c r="H21" i="19"/>
  <c r="J21" i="19"/>
  <c r="H22" i="19"/>
  <c r="I22" i="19"/>
  <c r="J22" i="19" s="1"/>
  <c r="J9" i="26"/>
  <c r="I10" i="25"/>
  <c r="I9" i="25"/>
  <c r="I8" i="25"/>
  <c r="J12" i="25"/>
  <c r="I12" i="25"/>
  <c r="J7" i="25"/>
  <c r="I7" i="25"/>
  <c r="I7" i="24"/>
  <c r="H9" i="4"/>
  <c r="J7" i="27"/>
  <c r="I7" i="27"/>
  <c r="I8" i="10"/>
  <c r="I18" i="9"/>
  <c r="J10" i="3"/>
  <c r="J8" i="3"/>
  <c r="J9" i="3"/>
  <c r="J7" i="3"/>
  <c r="F8" i="3"/>
  <c r="I10" i="14"/>
  <c r="I9" i="26" l="1"/>
  <c r="J7" i="26"/>
  <c r="I7" i="20"/>
  <c r="I10" i="16"/>
  <c r="J7" i="6"/>
  <c r="I11" i="6"/>
  <c r="H7" i="5"/>
  <c r="F7" i="5"/>
  <c r="H11" i="5"/>
  <c r="I8" i="22"/>
  <c r="I86" i="7" l="1"/>
  <c r="F86" i="7"/>
  <c r="J10" i="27"/>
  <c r="I10" i="27"/>
  <c r="J8" i="27"/>
  <c r="J12" i="16"/>
  <c r="J11" i="16"/>
  <c r="F8" i="22"/>
  <c r="F8" i="19"/>
  <c r="J11" i="19"/>
  <c r="J18" i="19"/>
  <c r="J19" i="19"/>
  <c r="J20" i="19"/>
  <c r="J23" i="19"/>
  <c r="I9" i="23"/>
  <c r="I11" i="19"/>
  <c r="G24" i="19"/>
  <c r="J8" i="19" l="1"/>
  <c r="F12" i="19"/>
  <c r="J12" i="19" s="1"/>
  <c r="F13" i="19"/>
  <c r="J13" i="19" s="1"/>
  <c r="F14" i="19"/>
  <c r="J14" i="19" s="1"/>
  <c r="F15" i="19"/>
  <c r="J15" i="19" s="1"/>
  <c r="F16" i="19"/>
  <c r="J16" i="19" s="1"/>
  <c r="I7" i="21"/>
  <c r="I8" i="17"/>
  <c r="I9" i="17" s="1"/>
  <c r="J7" i="17"/>
  <c r="J9" i="17" s="1"/>
  <c r="I7" i="16"/>
  <c r="I10" i="13"/>
  <c r="H10" i="5"/>
  <c r="H9" i="5"/>
  <c r="J12" i="8"/>
  <c r="J11" i="8"/>
  <c r="J10" i="8"/>
  <c r="J9" i="8"/>
  <c r="J8" i="8"/>
  <c r="J7" i="8"/>
  <c r="H11" i="19" l="1"/>
  <c r="J13" i="8"/>
  <c r="F8" i="17" l="1"/>
  <c r="E12" i="25"/>
  <c r="H18" i="19"/>
  <c r="H19" i="19"/>
  <c r="H20" i="19"/>
  <c r="J11" i="22" l="1"/>
  <c r="I13" i="22"/>
  <c r="I9" i="20"/>
  <c r="J7" i="7"/>
  <c r="I21" i="7"/>
  <c r="I35" i="28"/>
  <c r="I11" i="13"/>
  <c r="I8" i="15"/>
  <c r="I17" i="10"/>
  <c r="I13" i="8"/>
  <c r="J39" i="7"/>
  <c r="J28" i="7"/>
  <c r="J22" i="7"/>
  <c r="J11" i="7"/>
  <c r="J17" i="7"/>
  <c r="J15" i="7"/>
  <c r="I15" i="6"/>
  <c r="J10" i="6"/>
  <c r="H16" i="4"/>
  <c r="I11" i="4"/>
  <c r="I10" i="4"/>
  <c r="I9" i="4"/>
  <c r="J8" i="6"/>
  <c r="J9" i="6"/>
  <c r="J12" i="6"/>
  <c r="J13" i="6"/>
  <c r="J14" i="6"/>
  <c r="I9" i="5"/>
  <c r="I8" i="5"/>
  <c r="I11" i="5"/>
  <c r="I7" i="5"/>
  <c r="I12" i="4"/>
  <c r="I8" i="4"/>
  <c r="I13" i="4"/>
  <c r="I14" i="4"/>
  <c r="I15" i="4"/>
  <c r="I7" i="4"/>
  <c r="I11" i="3"/>
  <c r="I16" i="4" l="1"/>
  <c r="G11" i="3"/>
  <c r="G35" i="28"/>
  <c r="G12" i="25"/>
  <c r="G10" i="24"/>
  <c r="G10" i="27"/>
  <c r="G9" i="23"/>
  <c r="G9" i="26"/>
  <c r="H11" i="22"/>
  <c r="G13" i="22"/>
  <c r="G10" i="21"/>
  <c r="G9" i="20"/>
  <c r="G9" i="18"/>
  <c r="G9" i="17"/>
  <c r="G13" i="16"/>
  <c r="G8" i="15"/>
  <c r="G13" i="14"/>
  <c r="G11" i="13"/>
  <c r="G17" i="10"/>
  <c r="G20" i="9"/>
  <c r="G13" i="8"/>
  <c r="G88" i="7"/>
  <c r="G15" i="6"/>
  <c r="G12" i="5"/>
  <c r="G16" i="4"/>
  <c r="F7" i="9" l="1"/>
  <c r="F19" i="9"/>
  <c r="F18" i="9"/>
  <c r="F17" i="9"/>
  <c r="F16" i="9"/>
  <c r="F15" i="9"/>
  <c r="F14" i="9"/>
  <c r="F13" i="9"/>
  <c r="F12" i="9"/>
  <c r="F11" i="9"/>
  <c r="F10" i="9"/>
  <c r="F9" i="9"/>
  <c r="F8" i="9"/>
  <c r="H16" i="9" l="1"/>
  <c r="J16" i="9"/>
  <c r="H11" i="9"/>
  <c r="J11" i="9"/>
  <c r="H14" i="9"/>
  <c r="J14" i="9"/>
  <c r="H17" i="9"/>
  <c r="J17" i="9"/>
  <c r="H12" i="9"/>
  <c r="J12" i="9"/>
  <c r="H18" i="9"/>
  <c r="J18" i="9"/>
  <c r="H9" i="9"/>
  <c r="H10" i="9"/>
  <c r="J10" i="9"/>
  <c r="H15" i="9"/>
  <c r="H20" i="9" s="1"/>
  <c r="J15" i="9"/>
  <c r="H19" i="9"/>
  <c r="J19" i="9"/>
  <c r="H13" i="9"/>
  <c r="J13" i="9"/>
  <c r="H8" i="9"/>
  <c r="J8" i="9"/>
  <c r="H7" i="9"/>
  <c r="J7" i="9"/>
  <c r="F76" i="7"/>
  <c r="F9" i="10"/>
  <c r="F10" i="10"/>
  <c r="E10" i="24"/>
  <c r="E10" i="27"/>
  <c r="E9" i="23"/>
  <c r="E9" i="26"/>
  <c r="E13" i="22"/>
  <c r="E10" i="21"/>
  <c r="E9" i="20"/>
  <c r="E24" i="19"/>
  <c r="E9" i="18"/>
  <c r="E9" i="17"/>
  <c r="E13" i="16"/>
  <c r="E8" i="15"/>
  <c r="E13" i="14"/>
  <c r="E11" i="13"/>
  <c r="E17" i="10"/>
  <c r="E13" i="8"/>
  <c r="E15" i="6"/>
  <c r="E12" i="5"/>
  <c r="E16" i="4"/>
  <c r="E29" i="2"/>
  <c r="E35" i="28"/>
  <c r="F87" i="7"/>
  <c r="H87" i="7" s="1"/>
  <c r="H86" i="7"/>
  <c r="F85" i="7"/>
  <c r="H85" i="7" s="1"/>
  <c r="F84" i="7"/>
  <c r="H84" i="7" s="1"/>
  <c r="F83" i="7"/>
  <c r="H83" i="7" s="1"/>
  <c r="F82" i="7"/>
  <c r="H82" i="7" s="1"/>
  <c r="F81" i="7"/>
  <c r="H81" i="7" s="1"/>
  <c r="F80" i="7"/>
  <c r="H80" i="7" s="1"/>
  <c r="F79" i="7"/>
  <c r="H79" i="7" s="1"/>
  <c r="F78" i="7"/>
  <c r="H78" i="7" s="1"/>
  <c r="F77" i="7"/>
  <c r="F75" i="7"/>
  <c r="H75" i="7" s="1"/>
  <c r="F74" i="7"/>
  <c r="H74" i="7" s="1"/>
  <c r="F73" i="7"/>
  <c r="H73" i="7" s="1"/>
  <c r="F72" i="7"/>
  <c r="H72" i="7" s="1"/>
  <c r="F71" i="7"/>
  <c r="H71" i="7" s="1"/>
  <c r="F70" i="7"/>
  <c r="H70" i="7" s="1"/>
  <c r="F69" i="7"/>
  <c r="H69" i="7" s="1"/>
  <c r="F68" i="7"/>
  <c r="H68" i="7" s="1"/>
  <c r="F67" i="7"/>
  <c r="H67" i="7" s="1"/>
  <c r="F66" i="7"/>
  <c r="H66" i="7" s="1"/>
  <c r="F65" i="7"/>
  <c r="H65" i="7" s="1"/>
  <c r="F64" i="7"/>
  <c r="F63" i="7"/>
  <c r="H63" i="7" s="1"/>
  <c r="F62" i="7"/>
  <c r="H62" i="7" s="1"/>
  <c r="F61" i="7"/>
  <c r="H61" i="7" s="1"/>
  <c r="F60" i="7"/>
  <c r="H60" i="7" s="1"/>
  <c r="F59" i="7"/>
  <c r="H59" i="7" s="1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F51" i="7"/>
  <c r="H51" i="7" s="1"/>
  <c r="F50" i="7"/>
  <c r="H50" i="7" s="1"/>
  <c r="F49" i="7"/>
  <c r="H49" i="7" s="1"/>
  <c r="F48" i="7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F26" i="7"/>
  <c r="F25" i="7"/>
  <c r="F24" i="7"/>
  <c r="F23" i="7"/>
  <c r="F22" i="7"/>
  <c r="H22" i="7" s="1"/>
  <c r="F21" i="7"/>
  <c r="H21" i="7" s="1"/>
  <c r="F20" i="7"/>
  <c r="F19" i="7"/>
  <c r="F18" i="7"/>
  <c r="F17" i="7"/>
  <c r="H17" i="7" s="1"/>
  <c r="F16" i="7"/>
  <c r="F15" i="7"/>
  <c r="H15" i="7" s="1"/>
  <c r="F14" i="7"/>
  <c r="F13" i="7"/>
  <c r="F12" i="7"/>
  <c r="F11" i="7"/>
  <c r="H11" i="7" s="1"/>
  <c r="F10" i="7"/>
  <c r="F9" i="7"/>
  <c r="F8" i="7"/>
  <c r="F7" i="7"/>
  <c r="F10" i="25"/>
  <c r="H10" i="25" s="1"/>
  <c r="F9" i="25"/>
  <c r="H9" i="25" s="1"/>
  <c r="F8" i="25"/>
  <c r="H8" i="25" s="1"/>
  <c r="F7" i="25"/>
  <c r="H7" i="25" s="1"/>
  <c r="F8" i="24"/>
  <c r="F7" i="24"/>
  <c r="J7" i="24" s="1"/>
  <c r="J10" i="24" s="1"/>
  <c r="F8" i="27"/>
  <c r="H8" i="27" s="1"/>
  <c r="F7" i="27"/>
  <c r="F7" i="23"/>
  <c r="J7" i="23" s="1"/>
  <c r="J9" i="23" s="1"/>
  <c r="F7" i="26"/>
  <c r="H7" i="26" s="1"/>
  <c r="F10" i="22"/>
  <c r="F9" i="22"/>
  <c r="F7" i="22"/>
  <c r="F8" i="21"/>
  <c r="F7" i="21"/>
  <c r="F7" i="20"/>
  <c r="F17" i="19"/>
  <c r="J17" i="19" s="1"/>
  <c r="H13" i="19"/>
  <c r="H12" i="19"/>
  <c r="F10" i="19"/>
  <c r="I10" i="19" s="1"/>
  <c r="J10" i="19" s="1"/>
  <c r="F9" i="19"/>
  <c r="I9" i="19" s="1"/>
  <c r="H8" i="19"/>
  <c r="F7" i="19"/>
  <c r="F7" i="18"/>
  <c r="H8" i="17"/>
  <c r="F7" i="17"/>
  <c r="H7" i="17" s="1"/>
  <c r="F12" i="16"/>
  <c r="H12" i="16" s="1"/>
  <c r="F11" i="16"/>
  <c r="H11" i="16" s="1"/>
  <c r="F10" i="16"/>
  <c r="F9" i="16"/>
  <c r="F8" i="16"/>
  <c r="F7" i="16"/>
  <c r="F7" i="15"/>
  <c r="F12" i="14"/>
  <c r="F11" i="14"/>
  <c r="F10" i="14"/>
  <c r="F9" i="14"/>
  <c r="F8" i="14"/>
  <c r="I8" i="14" s="1"/>
  <c r="F7" i="14"/>
  <c r="I7" i="14" s="1"/>
  <c r="I13" i="14" s="1"/>
  <c r="F10" i="13"/>
  <c r="F9" i="13"/>
  <c r="F8" i="13"/>
  <c r="F7" i="13"/>
  <c r="F16" i="10"/>
  <c r="F15" i="10"/>
  <c r="F14" i="10"/>
  <c r="F13" i="10"/>
  <c r="F12" i="10"/>
  <c r="F11" i="10"/>
  <c r="F8" i="10"/>
  <c r="F7" i="10"/>
  <c r="F12" i="8"/>
  <c r="H12" i="8" s="1"/>
  <c r="F11" i="8"/>
  <c r="H11" i="8" s="1"/>
  <c r="F10" i="8"/>
  <c r="F9" i="8"/>
  <c r="H9" i="8" s="1"/>
  <c r="F8" i="8"/>
  <c r="F7" i="8"/>
  <c r="F14" i="6"/>
  <c r="H14" i="6" s="1"/>
  <c r="F13" i="6"/>
  <c r="H13" i="6" s="1"/>
  <c r="F12" i="6"/>
  <c r="H12" i="6" s="1"/>
  <c r="F11" i="6"/>
  <c r="F10" i="6"/>
  <c r="H10" i="6" s="1"/>
  <c r="F9" i="6"/>
  <c r="H9" i="6" s="1"/>
  <c r="F8" i="6"/>
  <c r="H8" i="6" s="1"/>
  <c r="F7" i="6"/>
  <c r="H7" i="6" s="1"/>
  <c r="F11" i="5"/>
  <c r="F10" i="5"/>
  <c r="F9" i="5"/>
  <c r="F8" i="5"/>
  <c r="F15" i="4"/>
  <c r="F14" i="4"/>
  <c r="F13" i="4"/>
  <c r="F12" i="4"/>
  <c r="F11" i="4"/>
  <c r="F10" i="4"/>
  <c r="F9" i="4"/>
  <c r="F8" i="4"/>
  <c r="F7" i="4"/>
  <c r="F28" i="2"/>
  <c r="F27" i="2"/>
  <c r="F26" i="2"/>
  <c r="F25" i="2"/>
  <c r="F24" i="2"/>
  <c r="F23" i="2"/>
  <c r="F22" i="2"/>
  <c r="F21" i="2"/>
  <c r="F20" i="2"/>
  <c r="F19" i="2"/>
  <c r="F18" i="2"/>
  <c r="J18" i="2" s="1"/>
  <c r="F17" i="2"/>
  <c r="F16" i="2"/>
  <c r="J16" i="2" s="1"/>
  <c r="F15" i="2"/>
  <c r="F14" i="2"/>
  <c r="J14" i="2" s="1"/>
  <c r="F13" i="2"/>
  <c r="G13" i="2" s="1"/>
  <c r="F12" i="2"/>
  <c r="F11" i="2"/>
  <c r="F10" i="2"/>
  <c r="F9" i="2"/>
  <c r="F8" i="2"/>
  <c r="F7" i="2"/>
  <c r="F10" i="3"/>
  <c r="F9" i="3"/>
  <c r="F7" i="3"/>
  <c r="F34" i="28"/>
  <c r="F33" i="28"/>
  <c r="F32" i="28"/>
  <c r="F31" i="28"/>
  <c r="F30" i="28"/>
  <c r="F29" i="28"/>
  <c r="F28" i="28"/>
  <c r="F27" i="28"/>
  <c r="J27" i="28" s="1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20" i="9"/>
  <c r="E20" i="9"/>
  <c r="J7" i="19" l="1"/>
  <c r="F24" i="19"/>
  <c r="J9" i="19"/>
  <c r="I24" i="19"/>
  <c r="H9" i="19"/>
  <c r="H10" i="19"/>
  <c r="H7" i="19"/>
  <c r="H24" i="19"/>
  <c r="H14" i="19"/>
  <c r="H15" i="19"/>
  <c r="H16" i="19"/>
  <c r="H17" i="19"/>
  <c r="J26" i="28"/>
  <c r="H26" i="28"/>
  <c r="H27" i="28"/>
  <c r="J14" i="28"/>
  <c r="H14" i="28"/>
  <c r="J28" i="28"/>
  <c r="H28" i="28"/>
  <c r="J29" i="28"/>
  <c r="H29" i="28"/>
  <c r="J16" i="28"/>
  <c r="H16" i="28"/>
  <c r="J17" i="28"/>
  <c r="H17" i="28"/>
  <c r="J18" i="28"/>
  <c r="H18" i="28"/>
  <c r="J30" i="28"/>
  <c r="H30" i="28"/>
  <c r="H9" i="17"/>
  <c r="J15" i="28"/>
  <c r="H15" i="28"/>
  <c r="J31" i="28"/>
  <c r="H31" i="28"/>
  <c r="J19" i="28"/>
  <c r="H19" i="28"/>
  <c r="J8" i="28"/>
  <c r="H8" i="28"/>
  <c r="F35" i="28"/>
  <c r="J20" i="28"/>
  <c r="H20" i="28"/>
  <c r="J32" i="28"/>
  <c r="H32" i="28"/>
  <c r="J33" i="28"/>
  <c r="H33" i="28"/>
  <c r="H8" i="24"/>
  <c r="I8" i="24"/>
  <c r="I10" i="24" s="1"/>
  <c r="J10" i="28"/>
  <c r="H10" i="28"/>
  <c r="J22" i="28"/>
  <c r="H22" i="28"/>
  <c r="J34" i="28"/>
  <c r="H34" i="28"/>
  <c r="J9" i="28"/>
  <c r="H9" i="28"/>
  <c r="J11" i="28"/>
  <c r="H11" i="28"/>
  <c r="J24" i="28"/>
  <c r="H24" i="28"/>
  <c r="J9" i="9"/>
  <c r="J20" i="9" s="1"/>
  <c r="I20" i="9"/>
  <c r="J21" i="28"/>
  <c r="H21" i="28"/>
  <c r="J23" i="28"/>
  <c r="H23" i="28"/>
  <c r="J12" i="28"/>
  <c r="H12" i="28"/>
  <c r="J13" i="28"/>
  <c r="H13" i="28"/>
  <c r="J25" i="28"/>
  <c r="H25" i="28"/>
  <c r="H12" i="25"/>
  <c r="F10" i="24"/>
  <c r="H7" i="24"/>
  <c r="F10" i="27"/>
  <c r="H7" i="27"/>
  <c r="H10" i="27" s="1"/>
  <c r="F9" i="23"/>
  <c r="H7" i="23"/>
  <c r="H9" i="23" s="1"/>
  <c r="F9" i="26"/>
  <c r="H9" i="26"/>
  <c r="J10" i="22"/>
  <c r="H10" i="22"/>
  <c r="J9" i="22"/>
  <c r="H9" i="22"/>
  <c r="J7" i="22"/>
  <c r="H7" i="22"/>
  <c r="J8" i="22"/>
  <c r="H8" i="22"/>
  <c r="F10" i="21"/>
  <c r="H7" i="21"/>
  <c r="I8" i="21"/>
  <c r="J8" i="21" s="1"/>
  <c r="H8" i="21"/>
  <c r="F9" i="20"/>
  <c r="J7" i="20"/>
  <c r="J9" i="20" s="1"/>
  <c r="H7" i="20"/>
  <c r="H9" i="20" s="1"/>
  <c r="F9" i="18"/>
  <c r="I7" i="18"/>
  <c r="H7" i="18"/>
  <c r="H9" i="18" s="1"/>
  <c r="J10" i="16"/>
  <c r="H10" i="16"/>
  <c r="I9" i="16"/>
  <c r="H9" i="16"/>
  <c r="J7" i="16"/>
  <c r="H7" i="16"/>
  <c r="I8" i="16"/>
  <c r="H8" i="16"/>
  <c r="F8" i="15"/>
  <c r="J7" i="15"/>
  <c r="J8" i="15" s="1"/>
  <c r="H7" i="15"/>
  <c r="H8" i="15" s="1"/>
  <c r="H7" i="14"/>
  <c r="J7" i="14"/>
  <c r="H8" i="14"/>
  <c r="J8" i="14"/>
  <c r="H12" i="14"/>
  <c r="J12" i="14"/>
  <c r="H10" i="14"/>
  <c r="J10" i="14"/>
  <c r="H11" i="14"/>
  <c r="H9" i="14"/>
  <c r="J9" i="14"/>
  <c r="J9" i="13"/>
  <c r="H9" i="13"/>
  <c r="J10" i="13"/>
  <c r="H10" i="13"/>
  <c r="J7" i="13"/>
  <c r="H7" i="13"/>
  <c r="J8" i="13"/>
  <c r="H8" i="13"/>
  <c r="J7" i="10"/>
  <c r="H7" i="10"/>
  <c r="J8" i="10"/>
  <c r="H8" i="10"/>
  <c r="J11" i="10"/>
  <c r="H11" i="10"/>
  <c r="J12" i="10"/>
  <c r="H12" i="10"/>
  <c r="J13" i="10"/>
  <c r="H13" i="10"/>
  <c r="J10" i="10"/>
  <c r="H10" i="10"/>
  <c r="J9" i="10"/>
  <c r="H9" i="10"/>
  <c r="J14" i="10"/>
  <c r="H14" i="10"/>
  <c r="J16" i="10"/>
  <c r="H16" i="10"/>
  <c r="J15" i="10"/>
  <c r="H15" i="10"/>
  <c r="H7" i="8"/>
  <c r="H8" i="8"/>
  <c r="H10" i="8"/>
  <c r="I8" i="7"/>
  <c r="H8" i="7"/>
  <c r="I10" i="7"/>
  <c r="J10" i="7" s="1"/>
  <c r="H10" i="7"/>
  <c r="J9" i="7"/>
  <c r="H9" i="7"/>
  <c r="I23" i="7"/>
  <c r="H23" i="7"/>
  <c r="I19" i="7"/>
  <c r="J19" i="7" s="1"/>
  <c r="H19" i="7"/>
  <c r="I12" i="7"/>
  <c r="J12" i="7" s="1"/>
  <c r="H12" i="7"/>
  <c r="J24" i="7"/>
  <c r="H24" i="7"/>
  <c r="J48" i="7"/>
  <c r="H48" i="7"/>
  <c r="I13" i="7"/>
  <c r="J13" i="7" s="1"/>
  <c r="H13" i="7"/>
  <c r="J25" i="7"/>
  <c r="H25" i="7"/>
  <c r="I14" i="7"/>
  <c r="J14" i="7" s="1"/>
  <c r="H14" i="7"/>
  <c r="I26" i="7"/>
  <c r="H26" i="7"/>
  <c r="I27" i="7"/>
  <c r="H27" i="7"/>
  <c r="I16" i="7"/>
  <c r="J16" i="7" s="1"/>
  <c r="H16" i="7"/>
  <c r="J64" i="7"/>
  <c r="H64" i="7"/>
  <c r="J77" i="7"/>
  <c r="H77" i="7"/>
  <c r="J76" i="7"/>
  <c r="H76" i="7"/>
  <c r="I20" i="7"/>
  <c r="H20" i="7"/>
  <c r="I18" i="7"/>
  <c r="J18" i="7" s="1"/>
  <c r="H18" i="7"/>
  <c r="J11" i="6"/>
  <c r="J15" i="6" s="1"/>
  <c r="H11" i="6"/>
  <c r="H15" i="6" s="1"/>
  <c r="I10" i="5"/>
  <c r="I12" i="5" s="1"/>
  <c r="H12" i="5"/>
  <c r="J9" i="2"/>
  <c r="H9" i="2"/>
  <c r="G18" i="2"/>
  <c r="H8" i="2"/>
  <c r="J10" i="2"/>
  <c r="H10" i="2"/>
  <c r="J12" i="2"/>
  <c r="I13" i="2"/>
  <c r="J7" i="2"/>
  <c r="G7" i="2"/>
  <c r="F11" i="3"/>
  <c r="F9" i="17"/>
  <c r="F12" i="5"/>
  <c r="F11" i="13"/>
  <c r="F16" i="4"/>
  <c r="F17" i="10"/>
  <c r="F13" i="14"/>
  <c r="F13" i="8"/>
  <c r="F15" i="6"/>
  <c r="F88" i="7"/>
  <c r="F29" i="2"/>
  <c r="F12" i="25"/>
  <c r="F13" i="22"/>
  <c r="F13" i="16"/>
  <c r="A17" i="28"/>
  <c r="A11" i="28"/>
  <c r="J24" i="19" l="1"/>
  <c r="H10" i="24"/>
  <c r="J17" i="10"/>
  <c r="I13" i="16"/>
  <c r="H35" i="28"/>
  <c r="J35" i="28"/>
  <c r="J13" i="16"/>
  <c r="J13" i="22"/>
  <c r="H13" i="22"/>
  <c r="H10" i="21"/>
  <c r="J7" i="21"/>
  <c r="J10" i="21" s="1"/>
  <c r="I10" i="21"/>
  <c r="I9" i="18"/>
  <c r="J7" i="18"/>
  <c r="J9" i="18" s="1"/>
  <c r="H13" i="16"/>
  <c r="J13" i="14"/>
  <c r="H13" i="14"/>
  <c r="H11" i="13"/>
  <c r="J11" i="13"/>
  <c r="H17" i="10"/>
  <c r="H13" i="8"/>
  <c r="H88" i="7"/>
  <c r="J8" i="7"/>
  <c r="J88" i="7" s="1"/>
  <c r="I88" i="7"/>
  <c r="I29" i="2"/>
  <c r="J29" i="2"/>
  <c r="G29" i="2"/>
  <c r="H29" i="2"/>
  <c r="J11" i="3"/>
  <c r="E88" i="7"/>
  <c r="E11" i="3" l="1"/>
</calcChain>
</file>

<file path=xl/sharedStrings.xml><?xml version="1.0" encoding="utf-8"?>
<sst xmlns="http://schemas.openxmlformats.org/spreadsheetml/2006/main" count="1265" uniqueCount="492">
  <si>
    <t>CPV</t>
  </si>
  <si>
    <t>ROBA
USLUGA
RADOVI</t>
  </si>
  <si>
    <t>VRSTA
NABAVE</t>
  </si>
  <si>
    <t>OPIS</t>
  </si>
  <si>
    <t>PROCJENJENA
VRIJEDNOST</t>
  </si>
  <si>
    <t>TROŠKOVI UTROŠENIH SIROVINA I MATERIJALA</t>
  </si>
  <si>
    <t xml:space="preserve">15000000-8 </t>
  </si>
  <si>
    <t>15800000-6</t>
  </si>
  <si>
    <t>39534000-4</t>
  </si>
  <si>
    <t>44191000-5</t>
  </si>
  <si>
    <t>33760000-5</t>
  </si>
  <si>
    <t>22900000-9</t>
  </si>
  <si>
    <t>39800000-0</t>
  </si>
  <si>
    <t>19520000-7</t>
  </si>
  <si>
    <t>22850000-3</t>
  </si>
  <si>
    <t>44424200-0</t>
  </si>
  <si>
    <t>30162000-2</t>
  </si>
  <si>
    <t>39713430-6</t>
  </si>
  <si>
    <t>30190000-7</t>
  </si>
  <si>
    <t>30100000-0</t>
  </si>
  <si>
    <t>30152000-9</t>
  </si>
  <si>
    <t>30125110-5</t>
  </si>
  <si>
    <t>39154000-6</t>
  </si>
  <si>
    <t>18512200-3</t>
  </si>
  <si>
    <t>79800000-2</t>
  </si>
  <si>
    <t>22457000-8</t>
  </si>
  <si>
    <t>RAZNI PREHRAMBENI PROIZVODI I PIĆA</t>
  </si>
  <si>
    <t>KAVA I APARATI ZA PRIPREMU KAVE</t>
  </si>
  <si>
    <t>JEDNOKRATNI TEPISI ZA SAJAMSKE POTREBE</t>
  </si>
  <si>
    <t>DRVENE PLOČE I PANELI</t>
  </si>
  <si>
    <t>TERMO ROLE</t>
  </si>
  <si>
    <t>PAPIRNA KONFEKCIJA ZA HIGIJENSKE POTREBE</t>
  </si>
  <si>
    <t>TAHOGRAF LISTIĆI</t>
  </si>
  <si>
    <t>PRIBOR I SREDSTVA ZA PRANJE, ČIŠĆENJE I OSTALA SREDSTVA ZA OPĆU HIGIJENU</t>
  </si>
  <si>
    <t>TRAKE UPOZORENJA I TRAKE INDIKATOR</t>
  </si>
  <si>
    <t>POLIETILENSKE FOLIJE</t>
  </si>
  <si>
    <t>PVC ETUII, KORICE, FASCIKLI</t>
  </si>
  <si>
    <t>LJEPLJIVE TRAKE (OBOSTRANO LJEPLJIVE, U BOJI ZA TEPIHE, SMEĐE, IZOLIR)</t>
  </si>
  <si>
    <t>OZNAKE I ZNAKOVI IZ PODRUČJA ZAŠTITE NA RADU I SIGURNOSTI</t>
  </si>
  <si>
    <t>BESKOTAKTNE BIANCO KARTICE, NUMERIRANE I KODIRANE, VOZNE, PARKIRNE I PVC KARTICE</t>
  </si>
  <si>
    <t>PRIBOR I POTROŠNI MATERIJAL ZA USISIVAĆE</t>
  </si>
  <si>
    <t>UREDSKI MATERIJAL</t>
  </si>
  <si>
    <t>POTROŠNI MATERIJAL ZA SOLVENTNE PRINTERE</t>
  </si>
  <si>
    <t>REZERVNI DIJELOVI, POTROŠNI MATERIJAL I POPRAVAK PRINTERA ZEBRA</t>
  </si>
  <si>
    <t>TONERI I TINTE</t>
  </si>
  <si>
    <t>DIJELOVI "OCTANORM" KONSTRUKCIJE</t>
  </si>
  <si>
    <t>PEHARI, PLAKETE, MEDALJE I KUTIJE ZA PLAKETE I MEDALJE</t>
  </si>
  <si>
    <t>ID NARUKVICE ZA KONTROLU ULAZA</t>
  </si>
  <si>
    <t>JN</t>
  </si>
  <si>
    <t>MN</t>
  </si>
  <si>
    <t>R</t>
  </si>
  <si>
    <t>U</t>
  </si>
  <si>
    <t>UKUPNO:</t>
  </si>
  <si>
    <t>STAVKA FP  92</t>
  </si>
  <si>
    <t>TROŠKOVI UTROŠENE ENERGIJE</t>
  </si>
  <si>
    <t>09000000-3</t>
  </si>
  <si>
    <t>09310000-5</t>
  </si>
  <si>
    <t>09123000-7</t>
  </si>
  <si>
    <t>65410000-0</t>
  </si>
  <si>
    <t>NAFTNI DERIVATI</t>
  </si>
  <si>
    <t>OPSKRBA ELEKTRIČNOM ENERGIJOM</t>
  </si>
  <si>
    <t>OPSKRBA PLINOM</t>
  </si>
  <si>
    <t>TEHNOLOŠKA PARA - OPSKRBA TOPLINSKOM ENERGIJOM</t>
  </si>
  <si>
    <t>VN</t>
  </si>
  <si>
    <t>STAVKA FP  105</t>
  </si>
  <si>
    <t>34927100-2</t>
  </si>
  <si>
    <t>19210000-1</t>
  </si>
  <si>
    <t>03419000-0</t>
  </si>
  <si>
    <t>20210000-1</t>
  </si>
  <si>
    <t>24110000-8</t>
  </si>
  <si>
    <t>24312000-4</t>
  </si>
  <si>
    <t>24440000-0</t>
  </si>
  <si>
    <t>19724000-7</t>
  </si>
  <si>
    <t>14811000-9</t>
  </si>
  <si>
    <t>31711140-6</t>
  </si>
  <si>
    <t>44511000-5</t>
  </si>
  <si>
    <t>44522000-5</t>
  </si>
  <si>
    <t>44522200-7</t>
  </si>
  <si>
    <t>32351300-1</t>
  </si>
  <si>
    <t>31200000-8</t>
  </si>
  <si>
    <t>31430000-9</t>
  </si>
  <si>
    <t>34432000-4</t>
  </si>
  <si>
    <t>SOL ZA POSIPANJE CESTA</t>
  </si>
  <si>
    <t>TKANINE, TAPETARSKI MATERIJAL I PRIBOR</t>
  </si>
  <si>
    <t>DRVENA PILJENA GRAĐA</t>
  </si>
  <si>
    <t>TEHNIČKI PLINOVI</t>
  </si>
  <si>
    <t>NATRIJEV HIPOKLORIT I KLORIT, SULFATNA (SUMPORNA) I SOLNA KISELINA</t>
  </si>
  <si>
    <t>RAZNA GNOJIVA</t>
  </si>
  <si>
    <t>NAJLONSKE NITI ZA TRAVOKOSILICE</t>
  </si>
  <si>
    <t>STAKLO,STAKLARSKI MATERIJAL I STAKLARSKE USLUGE</t>
  </si>
  <si>
    <t>BRUSNE I REZNE PLOČE, BRUSNI PAPIR I PLATNA</t>
  </si>
  <si>
    <t xml:space="preserve">ELEKTRODE I ŽICE ZA ZAVARIVANJE  </t>
  </si>
  <si>
    <t>PRIBOR ZA ODRŽAVANJE HORTIKULTURE (CRIJEVA, NASTAVCI ZA CRIJEVA, PRSKALICE I SL.)</t>
  </si>
  <si>
    <t>KLJUČEVI</t>
  </si>
  <si>
    <t>PRIBOR ZA AUDIOVIZUELNU OPREMU</t>
  </si>
  <si>
    <t xml:space="preserve">ELEKTROMATERIJAL  </t>
  </si>
  <si>
    <t>AKUMULATORI I PRIBOR</t>
  </si>
  <si>
    <t xml:space="preserve">BICIKLI I REZERVNI DIJELOVI ZA BICIKLE </t>
  </si>
  <si>
    <t>STAVKA FP  111</t>
  </si>
  <si>
    <t>35821000-5</t>
  </si>
  <si>
    <t>34350000-5</t>
  </si>
  <si>
    <t>44482000-2</t>
  </si>
  <si>
    <t>44512000-2</t>
  </si>
  <si>
    <t>43830000-0</t>
  </si>
  <si>
    <t>30213000-5</t>
  </si>
  <si>
    <t>30216000-6</t>
  </si>
  <si>
    <t>30237000-9</t>
  </si>
  <si>
    <t>39311000-5</t>
  </si>
  <si>
    <t>ZASTAVE</t>
  </si>
  <si>
    <t>AUTO GUME</t>
  </si>
  <si>
    <t>VATROGASNI APARATI I PROTUPOŽARNA OPREMA</t>
  </si>
  <si>
    <t>RUČNI NEELEKTRIČNI ALATI</t>
  </si>
  <si>
    <t>RUČNI ELEKTRIČNI ALAT</t>
  </si>
  <si>
    <t>RAČUNALNA OPREMA</t>
  </si>
  <si>
    <t>UREĐAJI ZA SKENIRANJE I DIGITALIZACIJU DOKUMENATA</t>
  </si>
  <si>
    <t>ICT KOMPONENTE</t>
  </si>
  <si>
    <t>UGOSTITELJSKA GALANTERIJA OD KERAMIKE, PORCULANA I STAKLA</t>
  </si>
  <si>
    <t>STAVKA FP  114</t>
  </si>
  <si>
    <t>TROŠKOVI POŠTANSKIH I TELEKOMUNIKACIJSKIH USLUGA</t>
  </si>
  <si>
    <t>34100000-8</t>
  </si>
  <si>
    <t>64110000-0</t>
  </si>
  <si>
    <t>NEMA</t>
  </si>
  <si>
    <t>64200000-8</t>
  </si>
  <si>
    <t>64212000-5</t>
  </si>
  <si>
    <t>74851000-9</t>
  </si>
  <si>
    <t>NAJAM OSOBNIH VOZILA</t>
  </si>
  <si>
    <t>USLUGE U POKRETNOJ ELEKTRONIČKOJ KOMUNIKACIJSKOJ  MREŽI (mobiteli)</t>
  </si>
  <si>
    <t>USLUGA NAPLAĆIVANJA CESTARINE (ENC)</t>
  </si>
  <si>
    <t>STAVKA FP  120</t>
  </si>
  <si>
    <t>TROŠKOVI USLUGA NA IZRADI PROIZVODA I KOOPERANTI</t>
  </si>
  <si>
    <t>45111290-7</t>
  </si>
  <si>
    <t>45311000-0</t>
  </si>
  <si>
    <t>45314000-1</t>
  </si>
  <si>
    <t>45421000-4</t>
  </si>
  <si>
    <t>45442100-8</t>
  </si>
  <si>
    <t>51310000-8</t>
  </si>
  <si>
    <t>79932000-6</t>
  </si>
  <si>
    <t>NAJAM OCTANORM KONSTRUKCIJE S IZVEDBOM IZLOŽBENOG PROSTORA</t>
  </si>
  <si>
    <t xml:space="preserve">USLUGA IZRADE PRIVREMENIH VODOVODNIH PRIKLJUČAKA OD FLEKSIBILNIH CIJEVI ZA POTREBE SAJMOVA </t>
  </si>
  <si>
    <t>IZRADA I ODRŽAVANJE PRIVREMENIH ELEKTROINSTALACIJA ZA  SAJMOVE,  MANIFESTACIJE I BLAGDANE</t>
  </si>
  <si>
    <t>INSTALIRANJE  TELEKOMUNIKACIJSKE OPREME</t>
  </si>
  <si>
    <t>STOLARSKI RADOVI I POSTAVLJANJE STOLARIJE</t>
  </si>
  <si>
    <t>SOBOSLIKARSKO- LIČILAČKI RADOVI</t>
  </si>
  <si>
    <t>USLUGA OZVUČENJA I SCENSKE RASVJETE</t>
  </si>
  <si>
    <t>POLAGANJE TEPIHA ZA POTREBE SAJAMSKIH PRIREDBI I DOGAĐANJA</t>
  </si>
  <si>
    <t>BRAVARSKE USLUGE</t>
  </si>
  <si>
    <t>03121000-5</t>
  </si>
  <si>
    <t>09112200-9</t>
  </si>
  <si>
    <t>14820000-5</t>
  </si>
  <si>
    <t>50530000-9</t>
  </si>
  <si>
    <t>16810000-6</t>
  </si>
  <si>
    <t>42662000-4</t>
  </si>
  <si>
    <t>50310000-1</t>
  </si>
  <si>
    <t>32344230-7</t>
  </si>
  <si>
    <t>38551000-2</t>
  </si>
  <si>
    <t>50112000-3</t>
  </si>
  <si>
    <t>34325200-3</t>
  </si>
  <si>
    <t>34410000-4</t>
  </si>
  <si>
    <t>45231400-9</t>
  </si>
  <si>
    <t>45233222-1</t>
  </si>
  <si>
    <t>45233200-1</t>
  </si>
  <si>
    <t>45261900-3</t>
  </si>
  <si>
    <t>45330000-9</t>
  </si>
  <si>
    <t>45400000-1</t>
  </si>
  <si>
    <t>45432100-5</t>
  </si>
  <si>
    <t>50114000-7</t>
  </si>
  <si>
    <t>98316000-1</t>
  </si>
  <si>
    <t>50116500-6</t>
  </si>
  <si>
    <t>98394000-1</t>
  </si>
  <si>
    <t>50116000-1</t>
  </si>
  <si>
    <t>50312000-5</t>
  </si>
  <si>
    <t>50334400-9</t>
  </si>
  <si>
    <t>50330000-7</t>
  </si>
  <si>
    <t>50334100-6</t>
  </si>
  <si>
    <t>50340000-0</t>
  </si>
  <si>
    <t>50342000-4</t>
  </si>
  <si>
    <t>50411000-9</t>
  </si>
  <si>
    <t>50412000-6</t>
  </si>
  <si>
    <t>50413000-3</t>
  </si>
  <si>
    <t>50433000-9</t>
  </si>
  <si>
    <t>50411300-2</t>
  </si>
  <si>
    <t>50511000-0</t>
  </si>
  <si>
    <t>50531300-9</t>
  </si>
  <si>
    <t>50800000-3</t>
  </si>
  <si>
    <t>50532000-3</t>
  </si>
  <si>
    <t>50532100-4</t>
  </si>
  <si>
    <t>50000000-5</t>
  </si>
  <si>
    <t>44221230-6</t>
  </si>
  <si>
    <t>45332000-3</t>
  </si>
  <si>
    <t>45331210-1</t>
  </si>
  <si>
    <t>50711000-2</t>
  </si>
  <si>
    <t>50324100-3</t>
  </si>
  <si>
    <t>50720000-8</t>
  </si>
  <si>
    <t>50730000-1</t>
  </si>
  <si>
    <t>50531400-0</t>
  </si>
  <si>
    <t xml:space="preserve">50750000-7 </t>
  </si>
  <si>
    <t>50880000-7</t>
  </si>
  <si>
    <t>71630000-3</t>
  </si>
  <si>
    <t>71631200-2</t>
  </si>
  <si>
    <t>71631000-0</t>
  </si>
  <si>
    <t>71632000-7</t>
  </si>
  <si>
    <t>79212000-3</t>
  </si>
  <si>
    <t>90910000-9</t>
  </si>
  <si>
    <t>77310000-6</t>
  </si>
  <si>
    <t>77314000-4</t>
  </si>
  <si>
    <t>98395000-8</t>
  </si>
  <si>
    <t>TRESET, SUPSTRATI I KORA DRVETA ZA UZGOJ BILJA</t>
  </si>
  <si>
    <t>USLUGE POPRAVKA I ODRŽAVANJA VILIČARA</t>
  </si>
  <si>
    <t>USLUGE ODRŽAVANJA I POPRAVAK RAZNIH STROJEVA</t>
  </si>
  <si>
    <t>REZERVNI DIJELOVI I POPRAVAK TRAKTORA, POLJOPRIVREDNIH STROJEVA I OSTALE PRIKLJUČNE OPREME</t>
  </si>
  <si>
    <t>REZERVNI DIJELOVI I POPRAVAK APARATA ZA ZAVARIVANJE</t>
  </si>
  <si>
    <t>REZERVNI DIJELOVI I POPRAVAK RUČNIH ELEKTRIČNIH ALATA</t>
  </si>
  <si>
    <t xml:space="preserve">SERVIS I REZERVNI DIJELOVI RADIO STANICA </t>
  </si>
  <si>
    <t>KALORIMETRI S UGRADNJOM</t>
  </si>
  <si>
    <t xml:space="preserve">USLUGE ODRŽAVANJA I POPRAVKA   OSOBNIH AUTOMOBILA </t>
  </si>
  <si>
    <t>ISPUŠNI LONCI I CIJEVI I MONTAŽA</t>
  </si>
  <si>
    <t>REZERVNI DIJELOVI, POPRAVAK I SERVIS ZA SKUTERE, MOTOCIKLE I BICIKLE</t>
  </si>
  <si>
    <t>INTERVENTNI RADOVI NA SANACIJI KVAROVA NA ENERGETSKIM PODZEMNIM KABLOVIMA</t>
  </si>
  <si>
    <t xml:space="preserve">RADOVI NA ASFALTIRANJU </t>
  </si>
  <si>
    <t>SANACIJA  PJEŠAČKIH ZONA</t>
  </si>
  <si>
    <t>RADOVI HITNIH INTERVENCIJA NA POPRAVCIMA KROVOVA</t>
  </si>
  <si>
    <t>VODOINSTALATERSKI RADOVI</t>
  </si>
  <si>
    <t>ZAVRŠNI GRAĐEVINSKO OBRTNIČKI RADOVI</t>
  </si>
  <si>
    <t>POSTAVLJANJE PODOVA I PODNIH OBLOGA</t>
  </si>
  <si>
    <t>PRANJE I KEMIJSKO ČIŠĆENJE VOZILA</t>
  </si>
  <si>
    <t xml:space="preserve">LAKIRANJE VOZILA U TERMOLAKIRNICI </t>
  </si>
  <si>
    <t>USLUGA POPRAVAKA I ODRŽAVANJA TERETNIH VOZILA</t>
  </si>
  <si>
    <t xml:space="preserve">VULKANIZERSKE USLUGE </t>
  </si>
  <si>
    <t xml:space="preserve">TAPETARSKI POPRAVCI U GOSPODARSKIM VOZILIMA (SJEDALA, ZAVJESA, PODNIH OBLOGA, CERADA) </t>
  </si>
  <si>
    <t xml:space="preserve">POPRAVAK I REZERVNI DIJELOVI HIDRAULIKE I NADOGRADNJE SPECIJALNIH VOZILA </t>
  </si>
  <si>
    <t>POPRAVAK, REZERVNI DIJELOVI I POTROŠNI MATERIJAL RAZNE UREDSKE OPREME</t>
  </si>
  <si>
    <t>ODRŽAVANJE I POPRAVAK RAČUNALNE OPREME</t>
  </si>
  <si>
    <t>USLUGE POPRAVAKA I ODRŽAVANJA TELEKOMUNIKACIJSKIH VODOVA</t>
  </si>
  <si>
    <t>ODRŽAVANJE I POPRAVAK GSM OPREME</t>
  </si>
  <si>
    <t>ODRŽAVANJE I POPRAVAK RAZGLASA I RAZGLASNE OPREME</t>
  </si>
  <si>
    <t>SERVIS, ODRŽAVANJE, POPRAVAK I UMJERAVANJE OPREME DRAGER SAFETY I OSTALIH MJERNIH INSTRUMENATA</t>
  </si>
  <si>
    <t>SERVIS I POPRAVAK APARATA ZA KLOR-DIOXID MARKE BELLO-ZON</t>
  </si>
  <si>
    <t>PREVENTIVNO ODRŽAVANJE I POPRAVAK SPRINKLER SUSTAVA</t>
  </si>
  <si>
    <t>POPRAVAK I PROVJERA ISPRAVNOSTI STABILNOG SUSTAVA ZA DOJAVU POŽARA I SPRINKLER SUSTAVA</t>
  </si>
  <si>
    <t>USLUGA UMJERAVANJA TAHOGRAFA I ODRŽAVANJE, POPRAVAK I PRIPREMA MJERILA MASE ZA OVJERAVANJE</t>
  </si>
  <si>
    <t>BAŽDARENJE INDUKTIVNIH I ELEKTRONSKIH BROJILA UTROŠKA ELEKTRIČNE ENERGIJE ZA OBRAČUN KUPCIMA NA ZAGREBAČKOM VELESAJMU</t>
  </si>
  <si>
    <t xml:space="preserve">POPRAVAK I ODRŽAVANJE CRPKI </t>
  </si>
  <si>
    <t>ODRŽAVANJE, POPRAVAK I REZERVNI DIJELOVI KOMPRESORA RAZNIH PROIZVOĐAČA</t>
  </si>
  <si>
    <t>POPRAVAK, SERVIS I REZERVNI DIJELOVI CRPNIH POSTROJENJA I AUTOMATIKE, DIZEL AGREGATA ZA NUŽNO NAPAJANJE</t>
  </si>
  <si>
    <t>ODRŽAVANJE I POPRAVAK SUSTAVA DIZEL AGREGATA ZA NUŽNO NAPAJANJE</t>
  </si>
  <si>
    <t>POPRAVAK I REZERVNI DIJELOVI OPREME ZA ČIŠĆENJE I USISAVAČA</t>
  </si>
  <si>
    <t>ODRŽAVANJE I POPRAVAK POMIČNIH VRATA I STIJENA I INDUSTRIJSKIH SEKCIJSKIH VRATA</t>
  </si>
  <si>
    <t>POPRAVAK I REZERVNI DIJELOVI STROJEVA ZA OBRADU DRVA</t>
  </si>
  <si>
    <t>ODRŽAVANJE I POPRAVAK KLIZNIH VRATA</t>
  </si>
  <si>
    <t>HITNE INTERVENCIJE NA VODOVODNIM I KANALIZACIJSKIM INSTALACIJAMA</t>
  </si>
  <si>
    <t>DOBAVA, INSTALACIJA I ODRŽAVANJE VENTILACIJSKIH SUSTAVA</t>
  </si>
  <si>
    <t>HITNE INTERVENCIJE NA ELEKTRIČNIM INSTALACIJAMA</t>
  </si>
  <si>
    <t>HITNE INTERVENCIJE NA INSTALACIJAMA CENTRALNOG GRIJANJA</t>
  </si>
  <si>
    <t>USLUGE POPRAVKA I ODRŽAVANJA CENTRALNOG GRIJANJA I HLAĐENJA</t>
  </si>
  <si>
    <t>ODRŽAVANJE I POPRAVAK KLIMA UREĐAJA I DRUGE RASHLADNE OPREME</t>
  </si>
  <si>
    <t xml:space="preserve">POPRAVAK, SERVIS SAMOHODNE PODIZNE ŠKARASTE ELEKTRIČNE PLATFORME </t>
  </si>
  <si>
    <t>POPRAVAK I REDOVNO ODRŽAVANJE DIZALA</t>
  </si>
  <si>
    <t>POPRAVAK I REDOVNO ODRŽAVANJE POKRETNIH STUBA, PODIZNIH PLATFORMI i IZVLAČNIH LJESTVI</t>
  </si>
  <si>
    <t>POPRAVAK I ODRŽAVANJE  UGOSTITELJSKE OPREME</t>
  </si>
  <si>
    <t>SERVIS PROTUPOŽARNIH APARATA</t>
  </si>
  <si>
    <t xml:space="preserve">PERIODIČNI TEHNIČKI PREGLED VOZILA I SPECIJALISTIČKI PREGLED KOČNICA </t>
  </si>
  <si>
    <t>REDOVNI I IZVANREDNI PREGLED DIZALA</t>
  </si>
  <si>
    <t>REVIZIJA TRAFOSTANICA</t>
  </si>
  <si>
    <t>ISPITIVANJE I IZDAVANJE ATESTA ZA OSOBNU ZAŠTITNU OPREMU ZA RAD S VISOKIM NAPONOM</t>
  </si>
  <si>
    <t>PREGLED I ISPITIVANJE POKRETNIH STUBA I PODIZNIH PLATFORMI</t>
  </si>
  <si>
    <t>ODRŽAVANJE SUSTAVA AUTOMATSKOG NAVODNJAVANJA VRTOVA I PARKOVA.</t>
  </si>
  <si>
    <t>HORTIKULTURNO UREĐENJE OBJEKATA ZAGREBAČKOG VELESAJMA</t>
  </si>
  <si>
    <t>USLUGA BRUŠENJA RADIONIČKIH NOŽEVA I PILA</t>
  </si>
  <si>
    <t>STAVKA FP  125</t>
  </si>
  <si>
    <t>STAVKA FP  133</t>
  </si>
  <si>
    <t>TROŠKOVI ZAKUPNINA I NAJAMNINA</t>
  </si>
  <si>
    <t>30121100-4</t>
  </si>
  <si>
    <t>32300000-6</t>
  </si>
  <si>
    <t>32570000-9</t>
  </si>
  <si>
    <t>60171000-7</t>
  </si>
  <si>
    <t>34928200-0</t>
  </si>
  <si>
    <t>NAJAM ŠATORA I OPREME ZA ŠATORE</t>
  </si>
  <si>
    <t>NAJAM FOTOKOPIRNIH STROJEVA</t>
  </si>
  <si>
    <t xml:space="preserve">NAJAM AUDIO, VIDEO I SCENSKE OPREME </t>
  </si>
  <si>
    <t>NAJAM ELEKTRONIČKOG SUSTAVA ZA GLASANJE</t>
  </si>
  <si>
    <t>NAJAM OSOBNIH I DOSTAVNIH VOZILA PUTEM OPERATIVNOG LEASINGA</t>
  </si>
  <si>
    <t>NAJAM MONTAŽNE OGRADE</t>
  </si>
  <si>
    <t>79340000-9</t>
  </si>
  <si>
    <t>79341400-0</t>
  </si>
  <si>
    <t>79341000-6</t>
  </si>
  <si>
    <t>79342000-3</t>
  </si>
  <si>
    <t>79342000-0</t>
  </si>
  <si>
    <t>ZAKUP MEDIJSKOG PROSTORA NA REKLAMNIM PANOIMA HRVATSKIH ŠUMA, OGRADI BOTANIČKOG VRTA I DISPLAYIMA U ZAGREBU</t>
  </si>
  <si>
    <t>ZAKUP MEDIJSKOG PROSTORA NA REKLAMNIM PANOIMA (ZAGREB)</t>
  </si>
  <si>
    <t>USLUGA PROMIDŽBE PUTEM RADIJA</t>
  </si>
  <si>
    <t>USLUGA PROMIDŽBE PUTEM TV</t>
  </si>
  <si>
    <t>TISKARSKE USLUGE</t>
  </si>
  <si>
    <t>TROŠKOVI USLUGA PROMIDŽBE, SAJMOVA I REKLAME</t>
  </si>
  <si>
    <t>STAVKA FP  139</t>
  </si>
  <si>
    <t>98351100-9</t>
  </si>
  <si>
    <t>71610000-7</t>
  </si>
  <si>
    <t>79713000-5</t>
  </si>
  <si>
    <t>90921000-9</t>
  </si>
  <si>
    <t>90510000-5</t>
  </si>
  <si>
    <t>90915000-4</t>
  </si>
  <si>
    <t xml:space="preserve">USLUGE PARKIRANJA (PARKIRALIŠNE KARTE) </t>
  </si>
  <si>
    <t>ISPITIVANJE VODE ZA PIĆE i OTPADNIH VODA</t>
  </si>
  <si>
    <t>USLUGA PRIVATNE ZAŠTITE</t>
  </si>
  <si>
    <t>PREVENTIVNA I OBVEZATNA PREVENTIVNA DEZINFEKCIJA, DEZINSEKCIJE I DERATIZACIJE</t>
  </si>
  <si>
    <t>ODVOZ SMEĆA I ODLAGANJE OTPADA</t>
  </si>
  <si>
    <t>DIMNJAČARSKE USLUGE ZA DIMNJAČARSKO PODRUČJE GRADA ZAGREBA</t>
  </si>
  <si>
    <t>NAKNADA ZA PROČIŠĆAVANJE</t>
  </si>
  <si>
    <t>NAKNADA ZA KORIŠTENJE VODA</t>
  </si>
  <si>
    <t xml:space="preserve">VODA ZA PIĆE, PRANJE I SANIRTARIJE (POVEZANA DRUŠTVA) </t>
  </si>
  <si>
    <t>KOMUNALNE USLUGE</t>
  </si>
  <si>
    <t>STAVKA FP  143</t>
  </si>
  <si>
    <t>85121100-4</t>
  </si>
  <si>
    <t>85140000-2</t>
  </si>
  <si>
    <t>LIJEČNIČKE USLUGE NA  RAZNIM MANIFESTACIJAMA I USLUGE HITNE POMOĆI</t>
  </si>
  <si>
    <t>ZDRAVSTVENI PREGLEDI ZA IZDAVANJE SANITARNE KNJIŽICE I VOZAČKE DOZVOLE</t>
  </si>
  <si>
    <t>IZVANREDNI NADZORNI ZDRAVSTVENI PREGLEDI VOZAČA</t>
  </si>
  <si>
    <t>RAZNE ZDRAVSTVENE USLUGE</t>
  </si>
  <si>
    <t>ZDRAVSTVENE USLUGE</t>
  </si>
  <si>
    <t>STAVKA FP  156</t>
  </si>
  <si>
    <t>79100000-5</t>
  </si>
  <si>
    <t>79212100-4</t>
  </si>
  <si>
    <t>71242000-6</t>
  </si>
  <si>
    <t>ODVJETNIČKE USLUGE</t>
  </si>
  <si>
    <t>STUDENT SERVIS  - NE PIŠE SE</t>
  </si>
  <si>
    <t>REVIZIJA FINANCIJSKIH IZVJEŠĆA</t>
  </si>
  <si>
    <t>IZRADA PROCJENE TRŽIŠNE VRIJEDNOSTI GRAĐEVINSKIH OBJEKATA I ZEMLJIŠTA NA ZV-u</t>
  </si>
  <si>
    <t>STAVKA FP  160</t>
  </si>
  <si>
    <t>INTELEKTUALNE USLUGE</t>
  </si>
  <si>
    <t>66300000-3</t>
  </si>
  <si>
    <t>PROGRAM OSIGURANJA</t>
  </si>
  <si>
    <t>PREMIJE OSIGURANJA</t>
  </si>
  <si>
    <t>STAVKA FP  170</t>
  </si>
  <si>
    <t>STAVKA FP  171</t>
  </si>
  <si>
    <t>PATENTI I LICENCIJE</t>
  </si>
  <si>
    <t>48000000-8</t>
  </si>
  <si>
    <t>48321000-4</t>
  </si>
  <si>
    <t>48320000-7</t>
  </si>
  <si>
    <t>72400000-4</t>
  </si>
  <si>
    <t>LICENCE PROGRAMSKE OPREME MICROSOFT U MODELU ENTERPRISE PRETPLATE</t>
  </si>
  <si>
    <t>LICENCE AUTO CAD ALATA</t>
  </si>
  <si>
    <t>PRAVO KORIŠTENJA ON - LINE INTERNET PORTALA (Poslovna Hrvatska)</t>
  </si>
  <si>
    <t xml:space="preserve">RADIJSKA FREKVENCIJA </t>
  </si>
  <si>
    <t>72267100-0</t>
  </si>
  <si>
    <t>ODRŽAVANJE I NADOGRADNJA INTERNET PREZENTACIJA ZV-a</t>
  </si>
  <si>
    <t>USLUGA OBRADE PODATAKA I ODRŽAVANJE RAČUNALNIH PROGRAMA</t>
  </si>
  <si>
    <t>STAVKA FP  180</t>
  </si>
  <si>
    <t>STAVKA FP  183</t>
  </si>
  <si>
    <t>NAKNADE ZA CESTE I TEHNIČKE PREGLEDE VOZILA</t>
  </si>
  <si>
    <t>REDOVNI TEHNIČKI PREGLED VOZILA</t>
  </si>
  <si>
    <t>79961000-8</t>
  </si>
  <si>
    <t>79500000-9</t>
  </si>
  <si>
    <t>79956000-0</t>
  </si>
  <si>
    <t>79950000-8</t>
  </si>
  <si>
    <t>90513000-6</t>
  </si>
  <si>
    <t>92310000-7</t>
  </si>
  <si>
    <t>03121200-7</t>
  </si>
  <si>
    <t>79952000-2</t>
  </si>
  <si>
    <t>USLUGA NEKOMERCIJALNOG OGLAŠAVANJA</t>
  </si>
  <si>
    <t>DNEVNO I PERIODIČNO ČIŠĆENJE I PRANJE POSLOVNIH PROSTORA, OTVORENIH I ZATVORENIH PROSTORA, SPORTSKIH OBJEKATA, JAVNIH GARAŽA I DEPONIJA MOTORNIH VOZILA</t>
  </si>
  <si>
    <t>FOTOGRAFSKE USLUGE</t>
  </si>
  <si>
    <t>USLUGE PREVOĐENJA</t>
  </si>
  <si>
    <t>SUORGANIZACIJA ZA KONFERENCIJE</t>
  </si>
  <si>
    <t xml:space="preserve">PREUZIMANJA I ZBRINJAVANJE BIORAZGRADIVOG OTPADA </t>
  </si>
  <si>
    <t>USLUGE UMJETNIČKOG I REPRODUKTIVNOG IZVOĐENJA ZA MANIFESTACIJE ZAGREBAČKOG VELESAJMA</t>
  </si>
  <si>
    <t>USLUGA IZRADE SCENOGRAFIJE ZA POTREBE SAJMOVA I DOGAĐANJA</t>
  </si>
  <si>
    <t>STAVKA FP  186</t>
  </si>
  <si>
    <t>OSTALI NESPOMENUTI TROŠKOVI VANJSKIH USLUGA</t>
  </si>
  <si>
    <t>STAVKA FP  209</t>
  </si>
  <si>
    <t>TROŠKOVI PRIJEVOZA I SMJEŠTAJA NA SLUŽBENOM PUTU I ZA RAD NA TERENU</t>
  </si>
  <si>
    <t>NE PIŠE SE</t>
  </si>
  <si>
    <t>72212333-2</t>
  </si>
  <si>
    <t>70220000-9</t>
  </si>
  <si>
    <t>USLUGE POPRAVKA I ODRŽAVANJA AUDIOVIZUALNE I OPTIČKE OPREME (LED ekran i ostalo)</t>
  </si>
  <si>
    <t>DEFEKTAŽA, POPRAVAK SUSTAVA ZA DOJAVU POŽARA</t>
  </si>
  <si>
    <t>SERVIS I POPRAVAK VATRODOJAVNOG PULTA  NA ZV-u</t>
  </si>
  <si>
    <t>POPRAVAK I ODRŽAVANJE ELEKTROMOTORA I PRIPADAJUČIH PUMPI</t>
  </si>
  <si>
    <t>POPRAVAK I ODRŽAVANJE ELEKTRIČNIH INSTALACIJA I RAD NA TEKUĆEM ODRŽAVANJU</t>
  </si>
  <si>
    <t>USLUGA EVIDENCIJE RADNOG VREMENA VOZAČA</t>
  </si>
  <si>
    <t>504130010-3</t>
  </si>
  <si>
    <t>79211120-3</t>
  </si>
  <si>
    <t>34330000-9</t>
  </si>
  <si>
    <t xml:space="preserve">REZERVNI DIJELOVI ZA OSOBNA I TERETNA VOZILA </t>
  </si>
  <si>
    <t>STAVKA FP  210</t>
  </si>
  <si>
    <t>NAKNADA TROŠKOVA PRIJEVOZA NA POSAO I S POSLA DO VISINE TROŠKOVA JAVNOG PRIJEVOZA</t>
  </si>
  <si>
    <t>22980000-3</t>
  </si>
  <si>
    <t>NAKNADA PRIJEVOZA NA POSAO I S POSLA DO VISINE TROŠKOVA JAVNOG PRIJEVOZA</t>
  </si>
  <si>
    <t>VOZNE KARTE ZET-A - INTERNO NARUČIVANJE</t>
  </si>
  <si>
    <t>80550000-4</t>
  </si>
  <si>
    <t>80530000-8</t>
  </si>
  <si>
    <t>80620000-6</t>
  </si>
  <si>
    <t>OSPOSOBLJAVANJE ZAPOSLENIKA IZ PODRUČJA ZAŠTITE NA RADU I ZAŠTITE OD POŽARA</t>
  </si>
  <si>
    <t>USLUGA STRUČNOG OSPOSOBLJAVANJA I IZOBRAZBE</t>
  </si>
  <si>
    <t>USLUGA STRELJANE - VJEŽBE BOJEVOG GAĐANJA</t>
  </si>
  <si>
    <t>STAVKA FP  211</t>
  </si>
  <si>
    <t>55300000-3</t>
  </si>
  <si>
    <t>RESTORANTSKE USLUGE</t>
  </si>
  <si>
    <t>STAVKA FP  218</t>
  </si>
  <si>
    <t>TROŠKOVI REPREZENTACIJE</t>
  </si>
  <si>
    <t>74113000-4</t>
  </si>
  <si>
    <t>75110000-0</t>
  </si>
  <si>
    <t>JAVNOBILJEŽNIČKE USLUGE</t>
  </si>
  <si>
    <t>SUDSKI TROŠKOVI (RAZNE TAKSE/PRISTOJBE, DOZVOLE, ODŠTETE)</t>
  </si>
  <si>
    <t>STAVKA FP  227</t>
  </si>
  <si>
    <t>UPRAVNI I SUDSKI TROŠKOVI</t>
  </si>
  <si>
    <t>22100000-1</t>
  </si>
  <si>
    <t>79300000-7</t>
  </si>
  <si>
    <t>48611000-4</t>
  </si>
  <si>
    <t>STRUČNE KNJIGE, ČASOPISI I KATALOZI</t>
  </si>
  <si>
    <t>IZRADA PRESS CLIPPING-a S ISPORUKOM SELEKTIRANIH ČLANAKA</t>
  </si>
  <si>
    <t>GODIŠNJA PRETPLATA ZA KORIŠTENJE PODATAKA IUS-INFO PROFESSIONAL</t>
  </si>
  <si>
    <t>GODIŠNJA PRETPLATA ZA KORIŠTENJE INTERNET SERVISA JEDINSTVENOG REGISTRA POSLOVNIH SUBJEKATA</t>
  </si>
  <si>
    <t>TROŠKOVI STRUČNE LITERATURE I TISKA</t>
  </si>
  <si>
    <t>STAVKA FP  228</t>
  </si>
  <si>
    <t>CVIJEĆE I CVIJETNI ARANŽMANI</t>
  </si>
  <si>
    <t>OSOBNA ZAŠTITNA  ODJEĆA I OBUĆA</t>
  </si>
  <si>
    <t>35113400-3</t>
  </si>
  <si>
    <t>PRODUKCIJA BANNERA ZA PLAKATNE POVRŠINE</t>
  </si>
  <si>
    <t>92512000-3</t>
  </si>
  <si>
    <t>REDOVNI SERVIS SOLVENTNOG PRINTERA MUTOCH</t>
  </si>
  <si>
    <t>ODRŽAVANJE POSTROJENJA VODOCRPNE STANICE  ZV</t>
  </si>
  <si>
    <t>PRIGODNE NAGRADE I DAROVI RADNICIMA</t>
  </si>
  <si>
    <t>STAVKA FP  213</t>
  </si>
  <si>
    <t>71631400-4</t>
  </si>
  <si>
    <t>PREGLED I OCJENA STANJA STROPNE ČELIČNE KONSTRUKCIJE I VIJČANIH SPOJEVA NAKON POTRESA U OBJEKTU RK</t>
  </si>
  <si>
    <t>80510000-2</t>
  </si>
  <si>
    <t>PERIODIČNA IZOBRAZBA VOZAČA  PO ZAKONU O PRIJEVOZU U CESOVNOM PROMETU</t>
  </si>
  <si>
    <t xml:space="preserve">ODRŽAVANJE I POPRAVAK TELEKOMUNIKACIJSKE OPREME </t>
  </si>
  <si>
    <t>ČLANARINE U STRUKOVNIM UDRUGAMA</t>
  </si>
  <si>
    <t>79980000-7</t>
  </si>
  <si>
    <t xml:space="preserve">ODRŽAVANJE I POPRAVAK SUSTAVA ZA HLAĐENJE I GRIJANJE KONGRESNE DVORANE I PAV.10 ZAGREBAČKOG VELESAJMA </t>
  </si>
  <si>
    <t>MJERNI INSTRUMENTI</t>
  </si>
  <si>
    <t>38300000-8</t>
  </si>
  <si>
    <t>REFLEKTORI ZA ŠTANDOVE</t>
  </si>
  <si>
    <t>IZOLACIONI MATERIJALI I IZOLACIONA OPREMA ZA RAD SA SREDNJIM NAPONOM (TTRAFOSTANICE)</t>
  </si>
  <si>
    <t>35811100-3</t>
  </si>
  <si>
    <t>UNIFORME VATROGASNE</t>
  </si>
  <si>
    <t>UNIFORME ZA ZAŠTITARE-ČUVARE</t>
  </si>
  <si>
    <t>BRAVARSKI MATERIJAL</t>
  </si>
  <si>
    <t>STAVKA FP  219</t>
  </si>
  <si>
    <t>POLIKARBONATNE PLOČE (PANELI) I PRIBOR ZA MONTAŽU  (lexan)</t>
  </si>
  <si>
    <t>PVC (forex)  I PLEXI PLOČE</t>
  </si>
  <si>
    <t xml:space="preserve">AUTORSKI HONORARI </t>
  </si>
  <si>
    <t xml:space="preserve">PRIGODNE NAGRADE I DAROVI RADNICIMA </t>
  </si>
  <si>
    <t>PRUŽANJE USLUGA PUTNIČKIH AGENCIJA ZA HOTELSKI SMJEŠTAJ U ZEMLJI I INOZEMSTVA  I AVIO KARTE I DNEVNICE</t>
  </si>
  <si>
    <t>STAVKA FP  84/85</t>
  </si>
  <si>
    <t>CVIJEĆE, LONČANICE, SADNICE, TRESET, ZEMLJA ZA CVIJEĆE I USLUGE ODRŽAVANJA ZELENIH POVRŠINA</t>
  </si>
  <si>
    <t>31518100-1</t>
  </si>
  <si>
    <t>44111530-5</t>
  </si>
  <si>
    <t>DEZINFEKCIJA I KEMIJSKO ČIŠĆENJE  VENTILACIJSKIH SUSTAVA I KUHINJSKIH UREĐAJA UZ KONTROLU MIKROBIOLOŠKE ČISTOĆE ZRAKA</t>
  </si>
  <si>
    <t>DEZINFEKCIJA I KEMIJSKO ČIŠĆENJE KLIMA</t>
  </si>
  <si>
    <t>2023.god.</t>
  </si>
  <si>
    <t>PROC.
VRIJEDNOST
EUR</t>
  </si>
  <si>
    <t>ČLANARINA U UDUZI RAČUNOVOĐA I FINANCIJSKIH DJELATNIKA</t>
  </si>
  <si>
    <t>98130000-3</t>
  </si>
  <si>
    <t>IZRADA DIGITALNIH KOPIJA ARHIVSKOG GRADIVA  ZV-a</t>
  </si>
  <si>
    <t>OBVEZNA PERIODIČNA ISPITIVANJA SUKLADNO ZAKONU O ZNR,ZOP I ZAKONU O MJERITELJSTVU  I OSTALA ISPITIVANJA I PREGLEDI</t>
  </si>
  <si>
    <t>NABAVA USLUGA U NEPOKRETNOJ ELEKTRONIČKOJ KOMUNIKACIJSKOJ MREŽI  (Internet , telefonija)</t>
  </si>
  <si>
    <t>POŠTANSKE USLUGE (+ KURIRSKE USLUGE)</t>
  </si>
  <si>
    <t>ODVOZ I ZBRINJAVANJE STAKLENOG OTPADA</t>
  </si>
  <si>
    <t>GLAVNI PREGLED NOSIVIH ČELIČNIH KONSTRUKCIJA</t>
  </si>
  <si>
    <t>RAZLIKA</t>
  </si>
  <si>
    <t>ISZV</t>
  </si>
  <si>
    <t>UCRTAVANJE HORIZONTALNE SIGNALIZACIJE</t>
  </si>
  <si>
    <t>USLUGA PRIVREMENOG ZAPOŠLJAVANJA</t>
  </si>
  <si>
    <t>LEKTURA I KOREKTURA</t>
  </si>
  <si>
    <t>REBALANS</t>
  </si>
  <si>
    <t>OSIGURANJE ali treba nam zbog narudžbenice</t>
  </si>
  <si>
    <t>na temelju 6 mj prosjeka</t>
  </si>
  <si>
    <r>
      <t xml:space="preserve"> </t>
    </r>
    <r>
      <rPr>
        <b/>
        <i/>
        <sz val="12"/>
        <color indexed="8"/>
        <rFont val="Arial Narrow"/>
        <family val="2"/>
        <charset val="238"/>
      </rPr>
      <t>ZAGREBAČKI VELESAJAM d.o.o.   -  PRIJEDLOG STAVAKA</t>
    </r>
  </si>
  <si>
    <r>
      <t>PROC. VRIJEDNOST</t>
    </r>
    <r>
      <rPr>
        <sz val="10"/>
        <color theme="1"/>
        <rFont val="Arial Narrow"/>
        <family val="2"/>
        <charset val="238"/>
      </rPr>
      <t xml:space="preserve"> EUR</t>
    </r>
  </si>
  <si>
    <t>MATERIJAL I DIJELOVI ZA ODRŽAVANJE OBJEKATA</t>
  </si>
  <si>
    <t>TROŠKOVI USLUGA ODRŽAVANJA</t>
  </si>
  <si>
    <t>USLUGA AKTUARA ZA IZRAČUN REZERVIRANJA PRAVA RADNIKA PO MRS-u ZA 2023.GODINU</t>
  </si>
  <si>
    <t>LICENCE PROGRAMA ZA DIZAJN I CRTANJE (LICENCE ADOBE ALATA)</t>
  </si>
  <si>
    <t xml:space="preserve">TROŠKOVI OBRAZOVANJA I STRUČNOG USAVRŠAVANJA RADNIKA </t>
  </si>
  <si>
    <r>
      <t xml:space="preserve">ZAKUP MEDIJSKOG PROSTORA U TISKU, NA PORTALIMA I REKLAMNIM PANOIMA IZVAN ZAGREBA ZA SAJAM </t>
    </r>
    <r>
      <rPr>
        <b/>
        <sz val="9"/>
        <rFont val="Arial Narrow"/>
        <family val="2"/>
        <charset val="238"/>
      </rPr>
      <t>NAUTIKA I  Dani lova i ribolova</t>
    </r>
  </si>
  <si>
    <r>
      <t xml:space="preserve">ZAKUP MEDIJSKOG PROSTORA U TISKU, NA PORTALIMA I REKLAMNIM PANOIMA IZVAN ZAGREBA ZA SAJAM </t>
    </r>
    <r>
      <rPr>
        <b/>
        <sz val="9"/>
        <rFont val="Arial Narrow"/>
        <family val="2"/>
        <charset val="238"/>
      </rPr>
      <t>Beauty &amp; Expo Fair</t>
    </r>
  </si>
  <si>
    <r>
      <t>ZAKUP MEDIJSKOG PROSTORA U TISKU, NA PORTALIMA I REKLAMNIM PANOIMA IZVAN ZAGREBA ZA SAJAM</t>
    </r>
    <r>
      <rPr>
        <b/>
        <sz val="9"/>
        <rFont val="Arial Narrow"/>
        <family val="2"/>
        <charset val="238"/>
      </rPr>
      <t xml:space="preserve"> Eco Mobility</t>
    </r>
  </si>
  <si>
    <r>
      <t xml:space="preserve">ZAKUP MEDIJSKOG PROSTORA U TISKU, NA PORTALIMA I REKLAMNIM PANOIMA IZVAN ZAGREBA ZA SAJAM </t>
    </r>
    <r>
      <rPr>
        <b/>
        <sz val="9"/>
        <rFont val="Arial Narrow"/>
        <family val="2"/>
        <charset val="238"/>
      </rPr>
      <t>AMBIENTA i Hotel &amp; Gastroteh</t>
    </r>
  </si>
  <si>
    <r>
      <t xml:space="preserve">ZAKUP MEDIJSKOG PROSTORA U TISKU, NA PORTALIMA I REKLAMNIM PANOIMA IZVAN ZAGREBA ZA </t>
    </r>
    <r>
      <rPr>
        <b/>
        <sz val="9"/>
        <rFont val="Arial Narrow"/>
        <family val="2"/>
        <charset val="238"/>
      </rPr>
      <t>SAJMOVE CroAgro i HRANE I ZDRAVOG ŽIVLJENJA</t>
    </r>
  </si>
  <si>
    <r>
      <t xml:space="preserve">ZAKUP MEDIJSKOG PROSTORA U TISKU, NA PORTALIMA I REKLAMNIM PANOIMA IZVAN ZAGREBA ZA SAJAM </t>
    </r>
    <r>
      <rPr>
        <b/>
        <sz val="9"/>
        <rFont val="Arial Narrow"/>
        <family val="2"/>
        <charset val="238"/>
      </rPr>
      <t>INTERLIBER, INOVA</t>
    </r>
  </si>
  <si>
    <r>
      <t xml:space="preserve">ZAKUP MEDIJSKOG PROSTORA U TISKU, NA PORTALIMA I REKLAMNIM PANOIMA IZVAN ZAGREBA  ZA </t>
    </r>
    <r>
      <rPr>
        <b/>
        <sz val="9"/>
        <rFont val="Arial Narrow"/>
        <family val="2"/>
        <charset val="238"/>
      </rPr>
      <t>INSTITUCIONALNU PROPAGANDU</t>
    </r>
  </si>
  <si>
    <t>REZERVNI DIJELOVI, POPRAVAK, REDOVNO ODRŽAVANJE I NADOGRADNJA PROGRAMSKE OPREME PARKING SUSTAVA , VIDEO NADZORA, EVIDENCIJE RADNOG VREMENA</t>
  </si>
  <si>
    <t>USLUGE SUORGANIZACIJE</t>
  </si>
  <si>
    <t>MEĐUNARODNA ČLANARINA UFI</t>
  </si>
  <si>
    <t>Jurica</t>
  </si>
  <si>
    <t>Matija</t>
  </si>
  <si>
    <t>Luka</t>
  </si>
  <si>
    <t>Ivana</t>
  </si>
  <si>
    <t>NABAVA SITNOG INVENTARA, AMBALAŽE, AUTO GUMA I ZAŠTITNE ODJEĆE I OBUĆE</t>
  </si>
  <si>
    <t>GODIŠNJE ODRŽAVANJE - LICENCE</t>
  </si>
  <si>
    <t>TISKOVNI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</si>
</sst>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\ &quot;kn&quot;"/>
    <numFmt numFmtId="165" formatCode="_-* #,##0_-;\-* #,##0_-;_-* &quot;-&quot;??_-;_-@_-"/>
    <numFmt numFmtId="166" formatCode="#,###;[Red]\(#,###\)"/>
    <numFmt numFmtId="167" formatCode="#,##0;[Red]#,##0"/>
    <numFmt numFmtId="168" formatCode="#,##0;[Red]\(#,###\)"/>
    <numFmt numFmtId="169" formatCode="#,##0;[Red]\(#,##0\)"/>
    <numFmt numFmtId="170" formatCode="#,##0;\(#,###\)"/>
    <numFmt numFmtId="171" formatCode="#,##0;\(#,##0\)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i/>
      <sz val="12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4" tint="-0.249977111117893"/>
      <name val="Arial Narrow"/>
      <family val="2"/>
      <charset val="238"/>
    </font>
    <font>
      <sz val="11"/>
      <color theme="4" tint="-0.249977111117893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4" tint="-0.249977111117893"/>
      <name val="Arial Narrow"/>
      <family val="2"/>
      <charset val="238"/>
    </font>
    <font>
      <sz val="12"/>
      <color theme="4" tint="-0.249977111117893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7" fillId="0" borderId="0" xfId="0" applyFont="1"/>
    <xf numFmtId="4" fontId="7" fillId="0" borderId="0" xfId="0" applyNumberFormat="1" applyFont="1"/>
    <xf numFmtId="1" fontId="7" fillId="0" borderId="0" xfId="0" applyNumberFormat="1" applyFont="1"/>
    <xf numFmtId="0" fontId="10" fillId="0" borderId="0" xfId="0" applyFont="1"/>
    <xf numFmtId="164" fontId="10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" fontId="7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4" fillId="6" borderId="2" xfId="0" applyFont="1" applyFill="1" applyBorder="1" applyAlignment="1">
      <alignment vertical="center" wrapText="1"/>
    </xf>
    <xf numFmtId="164" fontId="15" fillId="6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6" borderId="2" xfId="0" applyFont="1" applyFill="1" applyBorder="1" applyAlignment="1">
      <alignment vertical="center" wrapText="1"/>
    </xf>
    <xf numFmtId="164" fontId="17" fillId="0" borderId="2" xfId="0" applyNumberFormat="1" applyFont="1" applyBorder="1" applyAlignment="1">
      <alignment horizontal="right" vertical="center" wrapText="1"/>
    </xf>
    <xf numFmtId="164" fontId="1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164" fontId="17" fillId="6" borderId="2" xfId="0" applyNumberFormat="1" applyFont="1" applyFill="1" applyBorder="1" applyAlignment="1">
      <alignment horizontal="righ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164" fontId="4" fillId="5" borderId="2" xfId="0" applyNumberFormat="1" applyFont="1" applyFill="1" applyBorder="1" applyAlignment="1">
      <alignment vertical="top" wrapText="1"/>
    </xf>
    <xf numFmtId="0" fontId="7" fillId="4" borderId="1" xfId="0" applyFont="1" applyFill="1" applyBorder="1"/>
    <xf numFmtId="0" fontId="9" fillId="4" borderId="1" xfId="0" applyFont="1" applyFill="1" applyBorder="1" applyAlignment="1">
      <alignment horizontal="right"/>
    </xf>
    <xf numFmtId="4" fontId="9" fillId="4" borderId="1" xfId="0" applyNumberFormat="1" applyFont="1" applyFill="1" applyBorder="1"/>
    <xf numFmtId="165" fontId="7" fillId="0" borderId="0" xfId="1" applyNumberFormat="1" applyFont="1"/>
    <xf numFmtId="3" fontId="7" fillId="0" borderId="0" xfId="0" applyNumberFormat="1" applyFont="1"/>
    <xf numFmtId="166" fontId="2" fillId="0" borderId="2" xfId="0" applyNumberFormat="1" applyFont="1" applyBorder="1" applyAlignment="1">
      <alignment vertical="center" wrapText="1"/>
    </xf>
    <xf numFmtId="166" fontId="7" fillId="0" borderId="2" xfId="0" applyNumberFormat="1" applyFont="1" applyBorder="1"/>
    <xf numFmtId="166" fontId="2" fillId="8" borderId="2" xfId="0" applyNumberFormat="1" applyFont="1" applyFill="1" applyBorder="1" applyAlignment="1">
      <alignment vertical="center" wrapText="1"/>
    </xf>
    <xf numFmtId="167" fontId="7" fillId="0" borderId="2" xfId="0" applyNumberFormat="1" applyFont="1" applyBorder="1"/>
    <xf numFmtId="166" fontId="3" fillId="4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14" fillId="7" borderId="2" xfId="0" applyFont="1" applyFill="1" applyBorder="1" applyAlignment="1">
      <alignment vertical="center" wrapText="1"/>
    </xf>
    <xf numFmtId="164" fontId="18" fillId="5" borderId="2" xfId="0" applyNumberFormat="1" applyFont="1" applyFill="1" applyBorder="1" applyAlignment="1">
      <alignment horizontal="right" vertical="center" wrapText="1"/>
    </xf>
    <xf numFmtId="164" fontId="18" fillId="4" borderId="2" xfId="0" applyNumberFormat="1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9" fillId="4" borderId="2" xfId="0" applyFont="1" applyFill="1" applyBorder="1" applyAlignment="1">
      <alignment horizontal="right"/>
    </xf>
    <xf numFmtId="4" fontId="9" fillId="4" borderId="2" xfId="0" applyNumberFormat="1" applyFont="1" applyFill="1" applyBorder="1"/>
    <xf numFmtId="166" fontId="19" fillId="4" borderId="2" xfId="0" applyNumberFormat="1" applyFont="1" applyFill="1" applyBorder="1"/>
    <xf numFmtId="167" fontId="19" fillId="4" borderId="2" xfId="0" applyNumberFormat="1" applyFont="1" applyFill="1" applyBorder="1"/>
    <xf numFmtId="0" fontId="1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15" fillId="7" borderId="2" xfId="0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vertical="center" wrapText="1"/>
    </xf>
    <xf numFmtId="164" fontId="4" fillId="6" borderId="2" xfId="0" applyNumberFormat="1" applyFont="1" applyFill="1" applyBorder="1" applyAlignment="1">
      <alignment vertical="center" wrapText="1"/>
    </xf>
    <xf numFmtId="164" fontId="2" fillId="6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164" fontId="20" fillId="0" borderId="2" xfId="0" applyNumberFormat="1" applyFont="1" applyBorder="1" applyAlignment="1">
      <alignment vertical="center" wrapText="1"/>
    </xf>
    <xf numFmtId="164" fontId="4" fillId="5" borderId="2" xfId="0" applyNumberFormat="1" applyFont="1" applyFill="1" applyBorder="1" applyAlignment="1">
      <alignment vertical="center" wrapText="1"/>
    </xf>
    <xf numFmtId="164" fontId="20" fillId="6" borderId="2" xfId="0" applyNumberFormat="1" applyFont="1" applyFill="1" applyBorder="1" applyAlignment="1">
      <alignment vertical="center" wrapText="1"/>
    </xf>
    <xf numFmtId="0" fontId="17" fillId="7" borderId="2" xfId="0" applyFont="1" applyFill="1" applyBorder="1" applyAlignment="1">
      <alignment vertical="center" wrapText="1"/>
    </xf>
    <xf numFmtId="166" fontId="9" fillId="4" borderId="2" xfId="0" applyNumberFormat="1" applyFont="1" applyFill="1" applyBorder="1"/>
    <xf numFmtId="164" fontId="4" fillId="0" borderId="2" xfId="0" applyNumberFormat="1" applyFont="1" applyBorder="1" applyAlignment="1">
      <alignment vertical="center" wrapText="1"/>
    </xf>
    <xf numFmtId="164" fontId="4" fillId="6" borderId="2" xfId="0" applyNumberFormat="1" applyFont="1" applyFill="1" applyBorder="1" applyAlignment="1">
      <alignment horizontal="right" vertical="center" wrapText="1"/>
    </xf>
    <xf numFmtId="164" fontId="20" fillId="5" borderId="2" xfId="0" applyNumberFormat="1" applyFont="1" applyFill="1" applyBorder="1" applyAlignment="1">
      <alignment vertical="center" wrapText="1"/>
    </xf>
    <xf numFmtId="168" fontId="2" fillId="0" borderId="2" xfId="0" applyNumberFormat="1" applyFont="1" applyBorder="1" applyAlignment="1">
      <alignment vertical="center" wrapText="1"/>
    </xf>
    <xf numFmtId="168" fontId="7" fillId="0" borderId="2" xfId="0" applyNumberFormat="1" applyFont="1" applyBorder="1"/>
    <xf numFmtId="168" fontId="9" fillId="4" borderId="2" xfId="0" applyNumberFormat="1" applyFont="1" applyFill="1" applyBorder="1"/>
    <xf numFmtId="164" fontId="15" fillId="5" borderId="2" xfId="0" applyNumberFormat="1" applyFont="1" applyFill="1" applyBorder="1" applyAlignment="1">
      <alignment horizontal="right" vertical="center" wrapText="1"/>
    </xf>
    <xf numFmtId="169" fontId="2" fillId="0" borderId="2" xfId="0" applyNumberFormat="1" applyFont="1" applyBorder="1" applyAlignment="1">
      <alignment vertical="center" wrapText="1"/>
    </xf>
    <xf numFmtId="169" fontId="7" fillId="0" borderId="2" xfId="0" applyNumberFormat="1" applyFont="1" applyBorder="1"/>
    <xf numFmtId="169" fontId="7" fillId="4" borderId="2" xfId="0" applyNumberFormat="1" applyFont="1" applyFill="1" applyBorder="1"/>
    <xf numFmtId="164" fontId="4" fillId="8" borderId="2" xfId="0" applyNumberFormat="1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center" wrapText="1"/>
    </xf>
    <xf numFmtId="164" fontId="15" fillId="5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164" fontId="21" fillId="4" borderId="2" xfId="0" applyNumberFormat="1" applyFont="1" applyFill="1" applyBorder="1" applyAlignment="1">
      <alignment vertical="center" wrapText="1"/>
    </xf>
    <xf numFmtId="164" fontId="7" fillId="0" borderId="0" xfId="0" applyNumberFormat="1" applyFont="1"/>
    <xf numFmtId="169" fontId="4" fillId="0" borderId="2" xfId="0" applyNumberFormat="1" applyFont="1" applyBorder="1" applyAlignment="1">
      <alignment vertical="center" wrapText="1"/>
    </xf>
    <xf numFmtId="169" fontId="22" fillId="4" borderId="2" xfId="0" applyNumberFormat="1" applyFont="1" applyFill="1" applyBorder="1" applyAlignment="1">
      <alignment vertical="center" wrapText="1"/>
    </xf>
    <xf numFmtId="164" fontId="18" fillId="0" borderId="2" xfId="0" applyNumberFormat="1" applyFont="1" applyBorder="1" applyAlignment="1">
      <alignment vertical="top" wrapText="1"/>
    </xf>
    <xf numFmtId="169" fontId="9" fillId="4" borderId="2" xfId="0" applyNumberFormat="1" applyFont="1" applyFill="1" applyBorder="1"/>
    <xf numFmtId="164" fontId="18" fillId="0" borderId="2" xfId="0" applyNumberFormat="1" applyFont="1" applyBorder="1" applyAlignment="1">
      <alignment horizontal="right" vertical="center" wrapText="1"/>
    </xf>
    <xf numFmtId="0" fontId="18" fillId="6" borderId="2" xfId="0" applyFont="1" applyFill="1" applyBorder="1" applyAlignment="1">
      <alignment vertical="center" wrapText="1"/>
    </xf>
    <xf numFmtId="168" fontId="7" fillId="4" borderId="2" xfId="0" applyNumberFormat="1" applyFont="1" applyFill="1" applyBorder="1"/>
    <xf numFmtId="0" fontId="18" fillId="5" borderId="2" xfId="0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164" fontId="20" fillId="0" borderId="2" xfId="0" applyNumberFormat="1" applyFont="1" applyBorder="1" applyAlignment="1">
      <alignment horizontal="right" vertical="center" wrapText="1"/>
    </xf>
    <xf numFmtId="169" fontId="2" fillId="0" borderId="2" xfId="0" applyNumberFormat="1" applyFont="1" applyBorder="1"/>
    <xf numFmtId="0" fontId="23" fillId="0" borderId="0" xfId="0" applyFont="1"/>
    <xf numFmtId="4" fontId="23" fillId="0" borderId="0" xfId="0" applyNumberFormat="1" applyFont="1"/>
    <xf numFmtId="1" fontId="23" fillId="0" borderId="0" xfId="0" applyNumberFormat="1" applyFont="1"/>
    <xf numFmtId="0" fontId="24" fillId="0" borderId="0" xfId="0" applyFont="1"/>
    <xf numFmtId="164" fontId="24" fillId="0" borderId="0" xfId="0" applyNumberFormat="1" applyFont="1"/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0" borderId="2" xfId="0" applyFont="1" applyBorder="1"/>
    <xf numFmtId="0" fontId="27" fillId="7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7" fillId="7" borderId="2" xfId="0" applyFont="1" applyFill="1" applyBorder="1" applyAlignment="1">
      <alignment vertical="center" wrapText="1"/>
    </xf>
    <xf numFmtId="164" fontId="23" fillId="5" borderId="2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5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23" fillId="4" borderId="2" xfId="0" applyFont="1" applyFill="1" applyBorder="1"/>
    <xf numFmtId="0" fontId="8" fillId="4" borderId="2" xfId="0" applyFont="1" applyFill="1" applyBorder="1" applyAlignment="1">
      <alignment horizontal="right"/>
    </xf>
    <xf numFmtId="4" fontId="8" fillId="4" borderId="2" xfId="0" applyNumberFormat="1" applyFont="1" applyFill="1" applyBorder="1"/>
    <xf numFmtId="169" fontId="23" fillId="0" borderId="2" xfId="0" applyNumberFormat="1" applyFont="1" applyBorder="1"/>
    <xf numFmtId="169" fontId="23" fillId="4" borderId="2" xfId="0" applyNumberFormat="1" applyFont="1" applyFill="1" applyBorder="1"/>
    <xf numFmtId="168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wrapText="1"/>
    </xf>
    <xf numFmtId="170" fontId="2" fillId="0" borderId="2" xfId="0" applyNumberFormat="1" applyFont="1" applyBorder="1" applyAlignment="1">
      <alignment vertical="center" wrapText="1"/>
    </xf>
    <xf numFmtId="170" fontId="7" fillId="0" borderId="2" xfId="0" applyNumberFormat="1" applyFont="1" applyBorder="1"/>
    <xf numFmtId="170" fontId="7" fillId="4" borderId="2" xfId="0" applyNumberFormat="1" applyFont="1" applyFill="1" applyBorder="1"/>
    <xf numFmtId="164" fontId="4" fillId="5" borderId="2" xfId="0" applyNumberFormat="1" applyFont="1" applyFill="1" applyBorder="1" applyAlignment="1">
      <alignment horizontal="right" vertical="center" wrapText="1"/>
    </xf>
    <xf numFmtId="164" fontId="20" fillId="5" borderId="2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15" fillId="6" borderId="2" xfId="0" applyFont="1" applyFill="1" applyBorder="1" applyAlignment="1">
      <alignment vertical="top" wrapText="1"/>
    </xf>
    <xf numFmtId="0" fontId="23" fillId="0" borderId="2" xfId="0" applyFont="1" applyBorder="1" applyAlignment="1">
      <alignment horizontal="center" vertical="center"/>
    </xf>
    <xf numFmtId="164" fontId="28" fillId="5" borderId="2" xfId="0" applyNumberFormat="1" applyFont="1" applyFill="1" applyBorder="1" applyAlignment="1">
      <alignment vertical="center" wrapText="1"/>
    </xf>
    <xf numFmtId="171" fontId="2" fillId="0" borderId="2" xfId="0" applyNumberFormat="1" applyFont="1" applyBorder="1" applyAlignment="1">
      <alignment wrapText="1"/>
    </xf>
    <xf numFmtId="171" fontId="7" fillId="4" borderId="2" xfId="0" applyNumberFormat="1" applyFont="1" applyFill="1" applyBorder="1"/>
    <xf numFmtId="0" fontId="18" fillId="5" borderId="2" xfId="0" applyFont="1" applyFill="1" applyBorder="1" applyAlignment="1">
      <alignment vertical="top" wrapText="1"/>
    </xf>
    <xf numFmtId="0" fontId="29" fillId="0" borderId="2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/>
    </xf>
    <xf numFmtId="169" fontId="4" fillId="5" borderId="2" xfId="0" applyNumberFormat="1" applyFont="1" applyFill="1" applyBorder="1" applyAlignment="1">
      <alignment vertical="center" wrapText="1"/>
    </xf>
    <xf numFmtId="169" fontId="20" fillId="5" borderId="2" xfId="0" applyNumberFormat="1" applyFont="1" applyFill="1" applyBorder="1" applyAlignment="1">
      <alignment horizontal="right" vertical="center" wrapText="1"/>
    </xf>
    <xf numFmtId="169" fontId="7" fillId="0" borderId="0" xfId="0" applyNumberFormat="1" applyFont="1"/>
    <xf numFmtId="169" fontId="2" fillId="0" borderId="2" xfId="0" applyNumberFormat="1" applyFont="1" applyBorder="1" applyAlignment="1">
      <alignment wrapText="1"/>
    </xf>
    <xf numFmtId="0" fontId="7" fillId="4" borderId="0" xfId="0" applyFont="1" applyFill="1"/>
    <xf numFmtId="0" fontId="2" fillId="0" borderId="2" xfId="0" applyFont="1" applyBorder="1"/>
    <xf numFmtId="168" fontId="2" fillId="0" borderId="2" xfId="0" applyNumberFormat="1" applyFont="1" applyBorder="1"/>
    <xf numFmtId="170" fontId="2" fillId="0" borderId="2" xfId="0" applyNumberFormat="1" applyFont="1" applyBorder="1"/>
    <xf numFmtId="171" fontId="2" fillId="0" borderId="2" xfId="0" applyNumberFormat="1" applyFont="1" applyBorder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wrapText="1"/>
    </xf>
    <xf numFmtId="4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3" fontId="11" fillId="0" borderId="0" xfId="0" applyNumberFormat="1" applyFont="1" applyAlignment="1">
      <alignment horizontal="center" wrapText="1"/>
    </xf>
    <xf numFmtId="0" fontId="15" fillId="0" borderId="2" xfId="0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right" vertical="center" wrapText="1"/>
    </xf>
    <xf numFmtId="169" fontId="2" fillId="0" borderId="2" xfId="0" applyNumberFormat="1" applyFont="1" applyFill="1" applyBorder="1" applyAlignment="1">
      <alignment vertical="center" wrapText="1"/>
    </xf>
    <xf numFmtId="169" fontId="7" fillId="0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3"/>
  <sheetViews>
    <sheetView tabSelected="1" zoomScale="145" zoomScaleNormal="145" workbookViewId="0">
      <selection activeCell="A21" sqref="A21"/>
    </sheetView>
  </sheetViews>
  <sheetFormatPr defaultColWidth="9.140625" defaultRowHeight="16.5" x14ac:dyDescent="0.3"/>
  <cols>
    <col min="1" max="1" width="11.7109375" style="2" customWidth="1"/>
    <col min="2" max="2" width="7.85546875" style="2" customWidth="1"/>
    <col min="3" max="3" width="7.140625" style="2" bestFit="1" customWidth="1"/>
    <col min="4" max="4" width="67.42578125" style="2" customWidth="1"/>
    <col min="5" max="5" width="7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1" width="78.140625" style="2" bestFit="1" customWidth="1"/>
    <col min="12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0">
        <v>2023</v>
      </c>
      <c r="H1" s="41"/>
      <c r="I1" s="159"/>
      <c r="J1" s="160"/>
    </row>
    <row r="2" spans="1:10" x14ac:dyDescent="0.3">
      <c r="A2" s="1"/>
      <c r="D2" s="3"/>
      <c r="E2" s="4"/>
    </row>
    <row r="3" spans="1:10" ht="24" customHeight="1" x14ac:dyDescent="0.3">
      <c r="A3" s="5" t="s">
        <v>444</v>
      </c>
      <c r="B3" s="5"/>
      <c r="C3" s="6"/>
      <c r="D3" s="2" t="s">
        <v>5</v>
      </c>
      <c r="E3" s="161"/>
      <c r="F3" s="162"/>
    </row>
    <row r="6" spans="1:10" ht="5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idden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5</v>
      </c>
      <c r="G7" s="12">
        <v>6</v>
      </c>
      <c r="H7" s="13">
        <v>45082</v>
      </c>
      <c r="I7" s="12">
        <v>8</v>
      </c>
      <c r="J7" s="12">
        <v>9</v>
      </c>
    </row>
    <row r="8" spans="1:10" ht="15" customHeight="1" x14ac:dyDescent="0.3">
      <c r="A8" s="14" t="s">
        <v>6</v>
      </c>
      <c r="B8" s="15" t="s">
        <v>50</v>
      </c>
      <c r="C8" s="15" t="s">
        <v>48</v>
      </c>
      <c r="D8" s="16" t="s">
        <v>26</v>
      </c>
      <c r="E8" s="17">
        <v>15000</v>
      </c>
      <c r="F8" s="35">
        <f t="shared" ref="F8:F34" si="0">ROUND(E8/7.5345,2)</f>
        <v>1990.84</v>
      </c>
      <c r="G8" s="36">
        <v>1990.84</v>
      </c>
      <c r="H8" s="36">
        <f>+G8-F8</f>
        <v>0</v>
      </c>
      <c r="I8" s="35">
        <v>1990.84</v>
      </c>
      <c r="J8" s="35">
        <f>+I8-F8</f>
        <v>0</v>
      </c>
    </row>
    <row r="9" spans="1:10" ht="15" customHeight="1" x14ac:dyDescent="0.3">
      <c r="A9" s="14" t="s">
        <v>7</v>
      </c>
      <c r="B9" s="15" t="s">
        <v>50</v>
      </c>
      <c r="C9" s="15" t="s">
        <v>48</v>
      </c>
      <c r="D9" s="16" t="s">
        <v>27</v>
      </c>
      <c r="E9" s="17">
        <v>30000</v>
      </c>
      <c r="F9" s="35">
        <f t="shared" si="0"/>
        <v>3981.68</v>
      </c>
      <c r="G9" s="36">
        <v>3689.69</v>
      </c>
      <c r="H9" s="36">
        <f t="shared" ref="H9:H34" si="1">+G9-F9</f>
        <v>-291.98999999999978</v>
      </c>
      <c r="I9" s="35">
        <v>3981.68</v>
      </c>
      <c r="J9" s="35">
        <f t="shared" ref="J9:J34" si="2">+I9-F9</f>
        <v>0</v>
      </c>
    </row>
    <row r="10" spans="1:10" ht="15" customHeight="1" x14ac:dyDescent="0.3">
      <c r="A10" s="19" t="s">
        <v>13</v>
      </c>
      <c r="B10" s="20" t="s">
        <v>50</v>
      </c>
      <c r="C10" s="20" t="s">
        <v>48</v>
      </c>
      <c r="D10" s="21" t="s">
        <v>34</v>
      </c>
      <c r="E10" s="17">
        <v>3000</v>
      </c>
      <c r="F10" s="35">
        <f t="shared" si="0"/>
        <v>398.17</v>
      </c>
      <c r="G10" s="36">
        <v>397.17</v>
      </c>
      <c r="H10" s="36">
        <f t="shared" si="1"/>
        <v>-1</v>
      </c>
      <c r="I10" s="35">
        <v>398.17</v>
      </c>
      <c r="J10" s="35">
        <f t="shared" si="2"/>
        <v>0</v>
      </c>
    </row>
    <row r="11" spans="1:10" ht="15" customHeight="1" x14ac:dyDescent="0.3">
      <c r="A11" s="19" t="str">
        <f>"19520000-7"</f>
        <v>19520000-7</v>
      </c>
      <c r="B11" s="20" t="s">
        <v>50</v>
      </c>
      <c r="C11" s="20" t="s">
        <v>48</v>
      </c>
      <c r="D11" s="21" t="s">
        <v>38</v>
      </c>
      <c r="E11" s="17">
        <v>1000</v>
      </c>
      <c r="F11" s="35">
        <f t="shared" si="0"/>
        <v>132.72</v>
      </c>
      <c r="G11" s="36">
        <v>132.72</v>
      </c>
      <c r="H11" s="36">
        <f t="shared" si="1"/>
        <v>0</v>
      </c>
      <c r="I11" s="35">
        <v>132.72</v>
      </c>
      <c r="J11" s="35">
        <f t="shared" si="2"/>
        <v>0</v>
      </c>
    </row>
    <row r="12" spans="1:10" ht="15" customHeight="1" x14ac:dyDescent="0.3">
      <c r="A12" s="19" t="s">
        <v>11</v>
      </c>
      <c r="B12" s="20" t="s">
        <v>50</v>
      </c>
      <c r="C12" s="20" t="s">
        <v>48</v>
      </c>
      <c r="D12" s="21" t="s">
        <v>32</v>
      </c>
      <c r="E12" s="17">
        <v>1000</v>
      </c>
      <c r="F12" s="35">
        <f t="shared" si="0"/>
        <v>132.72</v>
      </c>
      <c r="G12" s="36">
        <v>112.81</v>
      </c>
      <c r="H12" s="36">
        <f t="shared" si="1"/>
        <v>-19.909999999999997</v>
      </c>
      <c r="I12" s="35">
        <v>132.72</v>
      </c>
      <c r="J12" s="35">
        <f t="shared" si="2"/>
        <v>0</v>
      </c>
    </row>
    <row r="13" spans="1:10" ht="15" customHeight="1" x14ac:dyDescent="0.3">
      <c r="A13" s="14" t="s">
        <v>21</v>
      </c>
      <c r="B13" s="15" t="s">
        <v>50</v>
      </c>
      <c r="C13" s="15" t="s">
        <v>48</v>
      </c>
      <c r="D13" s="16" t="s">
        <v>44</v>
      </c>
      <c r="E13" s="22">
        <v>30000</v>
      </c>
      <c r="F13" s="35">
        <f t="shared" si="0"/>
        <v>3981.68</v>
      </c>
      <c r="G13" s="36">
        <v>3981.68</v>
      </c>
      <c r="H13" s="36">
        <f t="shared" si="1"/>
        <v>0</v>
      </c>
      <c r="I13" s="35">
        <v>3981.68</v>
      </c>
      <c r="J13" s="35">
        <f t="shared" si="2"/>
        <v>0</v>
      </c>
    </row>
    <row r="14" spans="1:10" ht="15" customHeight="1" x14ac:dyDescent="0.3">
      <c r="A14" s="14" t="s">
        <v>20</v>
      </c>
      <c r="B14" s="15" t="s">
        <v>50</v>
      </c>
      <c r="C14" s="15" t="s">
        <v>48</v>
      </c>
      <c r="D14" s="16" t="s">
        <v>43</v>
      </c>
      <c r="E14" s="22">
        <v>1000</v>
      </c>
      <c r="F14" s="35">
        <f t="shared" si="0"/>
        <v>132.72</v>
      </c>
      <c r="G14" s="36">
        <v>132.72</v>
      </c>
      <c r="H14" s="36">
        <f t="shared" si="1"/>
        <v>0</v>
      </c>
      <c r="I14" s="35">
        <v>132.72</v>
      </c>
      <c r="J14" s="35">
        <f t="shared" si="2"/>
        <v>0</v>
      </c>
    </row>
    <row r="15" spans="1:10" ht="15" customHeight="1" x14ac:dyDescent="0.3">
      <c r="A15" s="14" t="s">
        <v>16</v>
      </c>
      <c r="B15" s="15" t="s">
        <v>50</v>
      </c>
      <c r="C15" s="15" t="s">
        <v>48</v>
      </c>
      <c r="D15" s="16" t="s">
        <v>39</v>
      </c>
      <c r="E15" s="23">
        <v>15000</v>
      </c>
      <c r="F15" s="35">
        <f t="shared" si="0"/>
        <v>1990.84</v>
      </c>
      <c r="G15" s="36">
        <v>1990.84</v>
      </c>
      <c r="H15" s="36">
        <f t="shared" si="1"/>
        <v>0</v>
      </c>
      <c r="I15" s="35">
        <v>4000</v>
      </c>
      <c r="J15" s="35">
        <f t="shared" si="2"/>
        <v>2009.16</v>
      </c>
    </row>
    <row r="16" spans="1:10" ht="15" customHeight="1" x14ac:dyDescent="0.3">
      <c r="A16" s="14" t="s">
        <v>18</v>
      </c>
      <c r="B16" s="15" t="s">
        <v>50</v>
      </c>
      <c r="C16" s="15" t="s">
        <v>48</v>
      </c>
      <c r="D16" s="16" t="s">
        <v>41</v>
      </c>
      <c r="E16" s="22">
        <v>20000</v>
      </c>
      <c r="F16" s="35">
        <f t="shared" si="0"/>
        <v>2654.46</v>
      </c>
      <c r="G16" s="36">
        <v>2654.46</v>
      </c>
      <c r="H16" s="36">
        <f t="shared" si="1"/>
        <v>0</v>
      </c>
      <c r="I16" s="35">
        <v>2654.46</v>
      </c>
      <c r="J16" s="35">
        <f t="shared" si="2"/>
        <v>0</v>
      </c>
    </row>
    <row r="17" spans="1:10" ht="15" customHeight="1" x14ac:dyDescent="0.3">
      <c r="A17" s="14" t="str">
        <f>"30197600-2"</f>
        <v>30197600-2</v>
      </c>
      <c r="B17" s="15" t="s">
        <v>50</v>
      </c>
      <c r="C17" s="15" t="s">
        <v>48</v>
      </c>
      <c r="D17" s="16" t="s">
        <v>30</v>
      </c>
      <c r="E17" s="23">
        <v>4000</v>
      </c>
      <c r="F17" s="35">
        <f t="shared" si="0"/>
        <v>530.89</v>
      </c>
      <c r="G17" s="36">
        <v>291.99</v>
      </c>
      <c r="H17" s="36">
        <f t="shared" si="1"/>
        <v>-238.89999999999998</v>
      </c>
      <c r="I17" s="35">
        <v>530.89</v>
      </c>
      <c r="J17" s="35">
        <f t="shared" si="2"/>
        <v>0</v>
      </c>
    </row>
    <row r="18" spans="1:10" ht="15" customHeight="1" x14ac:dyDescent="0.3">
      <c r="A18" s="14" t="s">
        <v>10</v>
      </c>
      <c r="B18" s="15" t="s">
        <v>50</v>
      </c>
      <c r="C18" s="15" t="s">
        <v>48</v>
      </c>
      <c r="D18" s="16" t="s">
        <v>31</v>
      </c>
      <c r="E18" s="22">
        <v>145000</v>
      </c>
      <c r="F18" s="35">
        <f t="shared" si="0"/>
        <v>19244.810000000001</v>
      </c>
      <c r="G18" s="36">
        <v>17253.97</v>
      </c>
      <c r="H18" s="36">
        <f t="shared" si="1"/>
        <v>-1990.8400000000001</v>
      </c>
      <c r="I18" s="35">
        <v>19244.810000000001</v>
      </c>
      <c r="J18" s="35">
        <f t="shared" si="2"/>
        <v>0</v>
      </c>
    </row>
    <row r="19" spans="1:10" ht="15" customHeight="1" x14ac:dyDescent="0.3">
      <c r="A19" s="14" t="s">
        <v>380</v>
      </c>
      <c r="B19" s="15" t="s">
        <v>50</v>
      </c>
      <c r="C19" s="15" t="s">
        <v>48</v>
      </c>
      <c r="D19" s="16" t="s">
        <v>381</v>
      </c>
      <c r="E19" s="22">
        <v>2390</v>
      </c>
      <c r="F19" s="35">
        <f t="shared" si="0"/>
        <v>317.20999999999998</v>
      </c>
      <c r="G19" s="36">
        <v>317.20999999999998</v>
      </c>
      <c r="H19" s="36">
        <f t="shared" si="1"/>
        <v>0</v>
      </c>
      <c r="I19" s="35">
        <v>317.20999999999998</v>
      </c>
      <c r="J19" s="35">
        <f t="shared" si="2"/>
        <v>0</v>
      </c>
    </row>
    <row r="20" spans="1:10" ht="15" customHeight="1" x14ac:dyDescent="0.3">
      <c r="A20" s="14" t="s">
        <v>17</v>
      </c>
      <c r="B20" s="15" t="s">
        <v>50</v>
      </c>
      <c r="C20" s="15" t="s">
        <v>48</v>
      </c>
      <c r="D20" s="16" t="s">
        <v>40</v>
      </c>
      <c r="E20" s="23">
        <v>2000</v>
      </c>
      <c r="F20" s="35">
        <f t="shared" si="0"/>
        <v>265.45</v>
      </c>
      <c r="G20" s="36">
        <v>265.45</v>
      </c>
      <c r="H20" s="36">
        <f t="shared" si="1"/>
        <v>0</v>
      </c>
      <c r="I20" s="35">
        <v>265.45</v>
      </c>
      <c r="J20" s="35">
        <f t="shared" si="2"/>
        <v>0</v>
      </c>
    </row>
    <row r="21" spans="1:10" ht="15" customHeight="1" x14ac:dyDescent="0.3">
      <c r="A21" s="14" t="s">
        <v>12</v>
      </c>
      <c r="B21" s="15" t="s">
        <v>50</v>
      </c>
      <c r="C21" s="15" t="s">
        <v>48</v>
      </c>
      <c r="D21" s="16" t="s">
        <v>33</v>
      </c>
      <c r="E21" s="22">
        <v>50000</v>
      </c>
      <c r="F21" s="35">
        <f t="shared" si="0"/>
        <v>6636.14</v>
      </c>
      <c r="G21" s="36">
        <v>5308.91</v>
      </c>
      <c r="H21" s="36">
        <f t="shared" si="1"/>
        <v>-1327.2300000000005</v>
      </c>
      <c r="I21" s="35">
        <v>6636.14</v>
      </c>
      <c r="J21" s="35">
        <f t="shared" si="2"/>
        <v>0</v>
      </c>
    </row>
    <row r="22" spans="1:10" ht="15" customHeight="1" x14ac:dyDescent="0.3">
      <c r="A22" s="14" t="s">
        <v>76</v>
      </c>
      <c r="B22" s="24" t="s">
        <v>50</v>
      </c>
      <c r="C22" s="24" t="s">
        <v>48</v>
      </c>
      <c r="D22" s="16" t="s">
        <v>437</v>
      </c>
      <c r="E22" s="25">
        <v>50000</v>
      </c>
      <c r="F22" s="35">
        <f t="shared" si="0"/>
        <v>6636.14</v>
      </c>
      <c r="G22" s="36">
        <v>6548.54</v>
      </c>
      <c r="H22" s="36">
        <f t="shared" si="1"/>
        <v>-87.600000000000364</v>
      </c>
      <c r="I22" s="35">
        <v>3500</v>
      </c>
      <c r="J22" s="35">
        <f>+I22-F22</f>
        <v>-3136.1400000000003</v>
      </c>
    </row>
    <row r="23" spans="1:10" ht="15" customHeight="1" x14ac:dyDescent="0.3">
      <c r="A23" s="14" t="s">
        <v>23</v>
      </c>
      <c r="B23" s="15" t="s">
        <v>50</v>
      </c>
      <c r="C23" s="15" t="s">
        <v>49</v>
      </c>
      <c r="D23" s="16" t="s">
        <v>46</v>
      </c>
      <c r="E23" s="25">
        <v>610</v>
      </c>
      <c r="F23" s="35">
        <f t="shared" si="0"/>
        <v>80.959999999999994</v>
      </c>
      <c r="G23" s="36">
        <v>80</v>
      </c>
      <c r="H23" s="36">
        <f t="shared" si="1"/>
        <v>-0.95999999999999375</v>
      </c>
      <c r="I23" s="35">
        <v>80.959999999999994</v>
      </c>
      <c r="J23" s="35">
        <f t="shared" si="2"/>
        <v>0</v>
      </c>
    </row>
    <row r="24" spans="1:10" ht="15" customHeight="1" x14ac:dyDescent="0.3">
      <c r="A24" s="14" t="s">
        <v>13</v>
      </c>
      <c r="B24" s="15" t="s">
        <v>50</v>
      </c>
      <c r="C24" s="15" t="s">
        <v>48</v>
      </c>
      <c r="D24" s="16" t="s">
        <v>35</v>
      </c>
      <c r="E24" s="25">
        <v>15000</v>
      </c>
      <c r="F24" s="35">
        <f t="shared" si="0"/>
        <v>1990.84</v>
      </c>
      <c r="G24" s="36">
        <v>1990.84</v>
      </c>
      <c r="H24" s="36">
        <f t="shared" si="1"/>
        <v>0</v>
      </c>
      <c r="I24" s="35">
        <v>1990.84</v>
      </c>
      <c r="J24" s="35">
        <f t="shared" si="2"/>
        <v>0</v>
      </c>
    </row>
    <row r="25" spans="1:10" ht="15" customHeight="1" x14ac:dyDescent="0.3">
      <c r="A25" s="14" t="s">
        <v>13</v>
      </c>
      <c r="B25" s="15" t="s">
        <v>50</v>
      </c>
      <c r="C25" s="15" t="s">
        <v>48</v>
      </c>
      <c r="D25" s="16" t="s">
        <v>439</v>
      </c>
      <c r="E25" s="17">
        <v>45000</v>
      </c>
      <c r="F25" s="35">
        <f t="shared" si="0"/>
        <v>5972.53</v>
      </c>
      <c r="G25" s="36">
        <v>5972.53</v>
      </c>
      <c r="H25" s="36">
        <f t="shared" si="1"/>
        <v>0</v>
      </c>
      <c r="I25" s="35">
        <v>5972.53</v>
      </c>
      <c r="J25" s="35">
        <f t="shared" si="2"/>
        <v>0</v>
      </c>
    </row>
    <row r="26" spans="1:10" ht="15" customHeight="1" x14ac:dyDescent="0.3">
      <c r="A26" s="26" t="s">
        <v>13</v>
      </c>
      <c r="B26" s="15" t="s">
        <v>50</v>
      </c>
      <c r="C26" s="15" t="s">
        <v>48</v>
      </c>
      <c r="D26" s="16" t="s">
        <v>440</v>
      </c>
      <c r="E26" s="25">
        <v>65000</v>
      </c>
      <c r="F26" s="35">
        <f t="shared" si="0"/>
        <v>8626.98</v>
      </c>
      <c r="G26" s="36">
        <v>8626.98</v>
      </c>
      <c r="H26" s="36">
        <f t="shared" si="1"/>
        <v>0</v>
      </c>
      <c r="I26" s="35">
        <v>8626.98</v>
      </c>
      <c r="J26" s="35">
        <f t="shared" si="2"/>
        <v>0</v>
      </c>
    </row>
    <row r="27" spans="1:10" ht="15" customHeight="1" x14ac:dyDescent="0.3">
      <c r="A27" s="27" t="s">
        <v>25</v>
      </c>
      <c r="B27" s="15" t="s">
        <v>50</v>
      </c>
      <c r="C27" s="15" t="s">
        <v>48</v>
      </c>
      <c r="D27" s="28" t="s">
        <v>47</v>
      </c>
      <c r="E27" s="29">
        <v>8000</v>
      </c>
      <c r="F27" s="35">
        <f t="shared" si="0"/>
        <v>1061.78</v>
      </c>
      <c r="G27" s="36">
        <v>1061.78</v>
      </c>
      <c r="H27" s="36">
        <f t="shared" si="1"/>
        <v>0</v>
      </c>
      <c r="I27" s="35">
        <v>0</v>
      </c>
      <c r="J27" s="35">
        <f>+I27-F27</f>
        <v>-1061.78</v>
      </c>
    </row>
    <row r="28" spans="1:10" ht="15" customHeight="1" x14ac:dyDescent="0.3">
      <c r="A28" s="14" t="s">
        <v>14</v>
      </c>
      <c r="B28" s="15" t="s">
        <v>50</v>
      </c>
      <c r="C28" s="15" t="s">
        <v>48</v>
      </c>
      <c r="D28" s="16" t="s">
        <v>36</v>
      </c>
      <c r="E28" s="17">
        <v>20000</v>
      </c>
      <c r="F28" s="37">
        <f t="shared" si="0"/>
        <v>2654.46</v>
      </c>
      <c r="G28" s="36">
        <v>2654.46</v>
      </c>
      <c r="H28" s="36">
        <f t="shared" si="1"/>
        <v>0</v>
      </c>
      <c r="I28" s="37">
        <v>2654.46</v>
      </c>
      <c r="J28" s="37">
        <f t="shared" si="2"/>
        <v>0</v>
      </c>
    </row>
    <row r="29" spans="1:10" ht="15" customHeight="1" x14ac:dyDescent="0.3">
      <c r="A29" s="14" t="s">
        <v>19</v>
      </c>
      <c r="B29" s="15" t="s">
        <v>50</v>
      </c>
      <c r="C29" s="15" t="s">
        <v>48</v>
      </c>
      <c r="D29" s="16" t="s">
        <v>42</v>
      </c>
      <c r="E29" s="22">
        <v>100000</v>
      </c>
      <c r="F29" s="35">
        <f t="shared" si="0"/>
        <v>13272.28</v>
      </c>
      <c r="G29" s="36">
        <v>13272.28</v>
      </c>
      <c r="H29" s="36">
        <f t="shared" si="1"/>
        <v>0</v>
      </c>
      <c r="I29" s="35">
        <v>13272.28</v>
      </c>
      <c r="J29" s="35">
        <f t="shared" si="2"/>
        <v>0</v>
      </c>
    </row>
    <row r="30" spans="1:10" ht="15" customHeight="1" x14ac:dyDescent="0.3">
      <c r="A30" s="14" t="s">
        <v>22</v>
      </c>
      <c r="B30" s="15" t="s">
        <v>50</v>
      </c>
      <c r="C30" s="15" t="s">
        <v>48</v>
      </c>
      <c r="D30" s="16" t="s">
        <v>45</v>
      </c>
      <c r="E30" s="22">
        <v>14000</v>
      </c>
      <c r="F30" s="35">
        <f t="shared" si="0"/>
        <v>1858.12</v>
      </c>
      <c r="G30" s="36">
        <v>1858.12</v>
      </c>
      <c r="H30" s="36">
        <f t="shared" si="1"/>
        <v>0</v>
      </c>
      <c r="I30" s="35">
        <v>1858.12</v>
      </c>
      <c r="J30" s="35">
        <f t="shared" si="2"/>
        <v>0</v>
      </c>
    </row>
    <row r="31" spans="1:10" ht="15" customHeight="1" x14ac:dyDescent="0.3">
      <c r="A31" s="26" t="s">
        <v>8</v>
      </c>
      <c r="B31" s="15" t="s">
        <v>50</v>
      </c>
      <c r="C31" s="15" t="s">
        <v>48</v>
      </c>
      <c r="D31" s="55" t="s">
        <v>28</v>
      </c>
      <c r="E31" s="23">
        <v>650000</v>
      </c>
      <c r="F31" s="35">
        <f t="shared" si="0"/>
        <v>86269.83</v>
      </c>
      <c r="G31" s="36">
        <v>86269.83</v>
      </c>
      <c r="H31" s="36">
        <f t="shared" si="1"/>
        <v>0</v>
      </c>
      <c r="I31" s="35">
        <v>80000</v>
      </c>
      <c r="J31" s="35">
        <f>+I31-F31</f>
        <v>-6269.8300000000017</v>
      </c>
    </row>
    <row r="32" spans="1:10" ht="15" customHeight="1" x14ac:dyDescent="0.3">
      <c r="A32" s="14" t="s">
        <v>9</v>
      </c>
      <c r="B32" s="15" t="s">
        <v>50</v>
      </c>
      <c r="C32" s="15" t="s">
        <v>48</v>
      </c>
      <c r="D32" s="16" t="s">
        <v>29</v>
      </c>
      <c r="E32" s="23">
        <v>60000</v>
      </c>
      <c r="F32" s="35">
        <f t="shared" si="0"/>
        <v>7963.37</v>
      </c>
      <c r="G32" s="36">
        <v>7963.37</v>
      </c>
      <c r="H32" s="36">
        <f t="shared" si="1"/>
        <v>0</v>
      </c>
      <c r="I32" s="35">
        <v>7963.37</v>
      </c>
      <c r="J32" s="35">
        <f t="shared" si="2"/>
        <v>0</v>
      </c>
    </row>
    <row r="33" spans="1:10" ht="15" customHeight="1" x14ac:dyDescent="0.3">
      <c r="A33" s="14" t="s">
        <v>15</v>
      </c>
      <c r="B33" s="15" t="s">
        <v>50</v>
      </c>
      <c r="C33" s="15" t="s">
        <v>48</v>
      </c>
      <c r="D33" s="16" t="s">
        <v>37</v>
      </c>
      <c r="E33" s="23">
        <v>50000</v>
      </c>
      <c r="F33" s="35">
        <f t="shared" si="0"/>
        <v>6636.14</v>
      </c>
      <c r="G33" s="36">
        <v>6636.14</v>
      </c>
      <c r="H33" s="36">
        <f t="shared" si="1"/>
        <v>0</v>
      </c>
      <c r="I33" s="35">
        <v>6636.14</v>
      </c>
      <c r="J33" s="35">
        <f t="shared" si="2"/>
        <v>0</v>
      </c>
    </row>
    <row r="34" spans="1:10" ht="15" customHeight="1" x14ac:dyDescent="0.3">
      <c r="A34" s="14" t="s">
        <v>24</v>
      </c>
      <c r="B34" s="24" t="s">
        <v>51</v>
      </c>
      <c r="C34" s="24" t="s">
        <v>49</v>
      </c>
      <c r="D34" s="16" t="s">
        <v>491</v>
      </c>
      <c r="E34" s="22">
        <v>20000</v>
      </c>
      <c r="F34" s="35">
        <f t="shared" si="0"/>
        <v>2654.46</v>
      </c>
      <c r="G34" s="36">
        <v>2654.46</v>
      </c>
      <c r="H34" s="36">
        <f t="shared" si="1"/>
        <v>0</v>
      </c>
      <c r="I34" s="35">
        <v>2654.46</v>
      </c>
      <c r="J34" s="35">
        <f t="shared" si="2"/>
        <v>0</v>
      </c>
    </row>
    <row r="35" spans="1:10" x14ac:dyDescent="0.3">
      <c r="A35" s="30"/>
      <c r="B35" s="30"/>
      <c r="C35" s="30"/>
      <c r="D35" s="31" t="s">
        <v>52</v>
      </c>
      <c r="E35" s="32">
        <f t="shared" ref="E35:J35" si="3">SUM(E8:E34)</f>
        <v>1417000</v>
      </c>
      <c r="F35" s="39">
        <f t="shared" si="3"/>
        <v>188068.22</v>
      </c>
      <c r="G35" s="39">
        <f t="shared" si="3"/>
        <v>184109.79</v>
      </c>
      <c r="H35" s="39">
        <f t="shared" si="3"/>
        <v>-3958.4300000000007</v>
      </c>
      <c r="I35" s="39">
        <f t="shared" si="3"/>
        <v>179609.62999999998</v>
      </c>
      <c r="J35" s="39">
        <f t="shared" si="3"/>
        <v>-8458.590000000002</v>
      </c>
    </row>
    <row r="39" spans="1:10" x14ac:dyDescent="0.3">
      <c r="E39" s="3"/>
    </row>
    <row r="41" spans="1:10" x14ac:dyDescent="0.3">
      <c r="E41" s="3"/>
    </row>
    <row r="42" spans="1:10" x14ac:dyDescent="0.3">
      <c r="E42" s="3"/>
    </row>
    <row r="43" spans="1:10" x14ac:dyDescent="0.3">
      <c r="D43" s="33"/>
      <c r="E43" s="34"/>
    </row>
  </sheetData>
  <mergeCells count="3">
    <mergeCell ref="A1:E1"/>
    <mergeCell ref="I1:J1"/>
    <mergeCell ref="E3:F3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7"/>
  <sheetViews>
    <sheetView zoomScale="130" zoomScaleNormal="130" workbookViewId="0">
      <selection activeCell="L13" sqref="L13"/>
    </sheetView>
  </sheetViews>
  <sheetFormatPr defaultColWidth="9.140625" defaultRowHeight="16.5" x14ac:dyDescent="0.3"/>
  <cols>
    <col min="1" max="1" width="11.85546875" style="2" customWidth="1"/>
    <col min="2" max="2" width="7" style="2" bestFit="1" customWidth="1"/>
    <col min="3" max="3" width="7.140625" style="2" bestFit="1" customWidth="1"/>
    <col min="4" max="4" width="66.7109375" style="2" customWidth="1"/>
    <col min="5" max="5" width="14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310</v>
      </c>
      <c r="B3" s="5"/>
      <c r="C3" s="6"/>
      <c r="D3" s="2" t="s">
        <v>309</v>
      </c>
      <c r="E3" s="165"/>
      <c r="F3" s="166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14" t="s">
        <v>295</v>
      </c>
      <c r="B7" s="15" t="s">
        <v>51</v>
      </c>
      <c r="C7" s="15" t="s">
        <v>48</v>
      </c>
      <c r="D7" s="16" t="s">
        <v>301</v>
      </c>
      <c r="E7" s="74">
        <v>130000</v>
      </c>
      <c r="F7" s="75">
        <f t="shared" ref="F7:F16" si="0">ROUND(E7/7.5345,2)</f>
        <v>17253.97</v>
      </c>
      <c r="G7" s="76">
        <v>17253.97</v>
      </c>
      <c r="H7" s="76">
        <f>+G7-F7</f>
        <v>0</v>
      </c>
      <c r="I7" s="75">
        <v>17253.97</v>
      </c>
      <c r="J7" s="104">
        <f>+I7-F7</f>
        <v>0</v>
      </c>
    </row>
    <row r="8" spans="1:10" ht="15" customHeight="1" x14ac:dyDescent="0.3">
      <c r="A8" s="14" t="s">
        <v>296</v>
      </c>
      <c r="B8" s="15" t="s">
        <v>51</v>
      </c>
      <c r="C8" s="15" t="s">
        <v>48</v>
      </c>
      <c r="D8" s="43" t="s">
        <v>302</v>
      </c>
      <c r="E8" s="23">
        <v>1733000</v>
      </c>
      <c r="F8" s="75">
        <f t="shared" si="0"/>
        <v>230008.63</v>
      </c>
      <c r="G8" s="76">
        <v>230008.63</v>
      </c>
      <c r="H8" s="76">
        <f t="shared" ref="H8:H16" si="1">+G8-F8</f>
        <v>0</v>
      </c>
      <c r="I8" s="75">
        <f>230008.63+74000+68000</f>
        <v>372008.63</v>
      </c>
      <c r="J8" s="104">
        <f t="shared" ref="J8:J16" si="2">+I8-F8</f>
        <v>142000</v>
      </c>
    </row>
    <row r="9" spans="1:10" ht="15" customHeight="1" x14ac:dyDescent="0.3">
      <c r="A9" s="61" t="s">
        <v>298</v>
      </c>
      <c r="B9" s="15" t="s">
        <v>51</v>
      </c>
      <c r="C9" s="15" t="s">
        <v>63</v>
      </c>
      <c r="D9" s="62" t="s">
        <v>304</v>
      </c>
      <c r="E9" s="63">
        <v>279200</v>
      </c>
      <c r="F9" s="75">
        <f>ROUND(E9/7.5345,2)</f>
        <v>37056.21</v>
      </c>
      <c r="G9" s="76">
        <v>36936.089999999997</v>
      </c>
      <c r="H9" s="76">
        <f t="shared" si="1"/>
        <v>-120.12000000000262</v>
      </c>
      <c r="I9" s="75">
        <v>37056.21</v>
      </c>
      <c r="J9" s="104">
        <f t="shared" si="2"/>
        <v>0</v>
      </c>
    </row>
    <row r="10" spans="1:10" ht="15" customHeight="1" x14ac:dyDescent="0.3">
      <c r="A10" s="88" t="s">
        <v>298</v>
      </c>
      <c r="B10" s="20" t="s">
        <v>51</v>
      </c>
      <c r="C10" s="20" t="s">
        <v>48</v>
      </c>
      <c r="D10" s="21" t="s">
        <v>458</v>
      </c>
      <c r="E10" s="68">
        <v>6800</v>
      </c>
      <c r="F10" s="75">
        <f t="shared" si="0"/>
        <v>902.52</v>
      </c>
      <c r="G10" s="76">
        <v>902.52</v>
      </c>
      <c r="H10" s="76">
        <f t="shared" si="1"/>
        <v>0</v>
      </c>
      <c r="I10" s="75">
        <v>902.52</v>
      </c>
      <c r="J10" s="104">
        <f t="shared" si="2"/>
        <v>0</v>
      </c>
    </row>
    <row r="11" spans="1:10" ht="15" customHeight="1" x14ac:dyDescent="0.3">
      <c r="A11" s="14" t="s">
        <v>299</v>
      </c>
      <c r="B11" s="15" t="s">
        <v>51</v>
      </c>
      <c r="C11" s="15" t="s">
        <v>48</v>
      </c>
      <c r="D11" s="16" t="s">
        <v>305</v>
      </c>
      <c r="E11" s="74">
        <v>0</v>
      </c>
      <c r="F11" s="75">
        <f t="shared" si="0"/>
        <v>0</v>
      </c>
      <c r="G11" s="76">
        <v>0</v>
      </c>
      <c r="H11" s="76">
        <f t="shared" si="1"/>
        <v>0</v>
      </c>
      <c r="I11" s="75">
        <v>0</v>
      </c>
      <c r="J11" s="104">
        <f t="shared" si="2"/>
        <v>0</v>
      </c>
    </row>
    <row r="12" spans="1:10" ht="15" customHeight="1" x14ac:dyDescent="0.3">
      <c r="A12" s="14" t="s">
        <v>297</v>
      </c>
      <c r="B12" s="15" t="s">
        <v>51</v>
      </c>
      <c r="C12" s="15" t="s">
        <v>48</v>
      </c>
      <c r="D12" s="16" t="s">
        <v>303</v>
      </c>
      <c r="E12" s="74">
        <v>20000</v>
      </c>
      <c r="F12" s="75">
        <f t="shared" si="0"/>
        <v>2654.46</v>
      </c>
      <c r="G12" s="76">
        <v>2654.46</v>
      </c>
      <c r="H12" s="76">
        <f t="shared" si="1"/>
        <v>0</v>
      </c>
      <c r="I12" s="75">
        <v>2654.46</v>
      </c>
      <c r="J12" s="104">
        <f t="shared" si="2"/>
        <v>0</v>
      </c>
    </row>
    <row r="13" spans="1:10" ht="15" customHeight="1" x14ac:dyDescent="0.3">
      <c r="A13" s="61" t="s">
        <v>294</v>
      </c>
      <c r="B13" s="15" t="s">
        <v>51</v>
      </c>
      <c r="C13" s="15" t="s">
        <v>48</v>
      </c>
      <c r="D13" s="80" t="s">
        <v>300</v>
      </c>
      <c r="E13" s="44">
        <v>1000</v>
      </c>
      <c r="F13" s="75">
        <f t="shared" si="0"/>
        <v>132.72</v>
      </c>
      <c r="G13" s="76">
        <v>132.72</v>
      </c>
      <c r="H13" s="76">
        <f t="shared" si="1"/>
        <v>0</v>
      </c>
      <c r="I13" s="75">
        <v>1200</v>
      </c>
      <c r="J13" s="104">
        <f t="shared" si="2"/>
        <v>1067.28</v>
      </c>
    </row>
    <row r="14" spans="1:10" ht="15" customHeight="1" x14ac:dyDescent="0.3">
      <c r="A14" s="14"/>
      <c r="B14" s="15"/>
      <c r="C14" s="15"/>
      <c r="D14" s="62" t="s">
        <v>306</v>
      </c>
      <c r="E14" s="23">
        <v>1410000</v>
      </c>
      <c r="F14" s="75">
        <f t="shared" si="0"/>
        <v>187139.16</v>
      </c>
      <c r="G14" s="76">
        <v>0</v>
      </c>
      <c r="H14" s="76">
        <f t="shared" si="1"/>
        <v>-187139.16</v>
      </c>
      <c r="I14" s="75">
        <v>187139.16</v>
      </c>
      <c r="J14" s="104">
        <f t="shared" si="2"/>
        <v>0</v>
      </c>
    </row>
    <row r="15" spans="1:10" ht="15" customHeight="1" x14ac:dyDescent="0.3">
      <c r="A15" s="19"/>
      <c r="B15" s="15"/>
      <c r="C15" s="15"/>
      <c r="D15" s="62" t="s">
        <v>307</v>
      </c>
      <c r="E15" s="23">
        <v>66000</v>
      </c>
      <c r="F15" s="75">
        <f t="shared" si="0"/>
        <v>8759.7099999999991</v>
      </c>
      <c r="G15" s="76">
        <v>0</v>
      </c>
      <c r="H15" s="76">
        <f t="shared" si="1"/>
        <v>-8759.7099999999991</v>
      </c>
      <c r="I15" s="75">
        <v>8759.7099999999991</v>
      </c>
      <c r="J15" s="104">
        <f t="shared" si="2"/>
        <v>0</v>
      </c>
    </row>
    <row r="16" spans="1:10" ht="15" customHeight="1" x14ac:dyDescent="0.3">
      <c r="A16" s="61"/>
      <c r="B16" s="15"/>
      <c r="C16" s="15"/>
      <c r="D16" s="62" t="s">
        <v>308</v>
      </c>
      <c r="E16" s="23">
        <v>90000</v>
      </c>
      <c r="F16" s="75">
        <f t="shared" si="0"/>
        <v>11945.05</v>
      </c>
      <c r="G16" s="76">
        <v>0</v>
      </c>
      <c r="H16" s="76">
        <f t="shared" si="1"/>
        <v>-11945.05</v>
      </c>
      <c r="I16" s="75">
        <v>11945.05</v>
      </c>
      <c r="J16" s="104">
        <f t="shared" si="2"/>
        <v>0</v>
      </c>
    </row>
    <row r="17" spans="1:10" x14ac:dyDescent="0.3">
      <c r="A17" s="48"/>
      <c r="B17" s="48"/>
      <c r="C17" s="48"/>
      <c r="D17" s="49" t="s">
        <v>52</v>
      </c>
      <c r="E17" s="50">
        <f t="shared" ref="E17:J17" si="3">SUM(E7:E16)</f>
        <v>3736000</v>
      </c>
      <c r="F17" s="77">
        <f t="shared" si="3"/>
        <v>495852.43000000005</v>
      </c>
      <c r="G17" s="77">
        <f t="shared" si="3"/>
        <v>287888.39</v>
      </c>
      <c r="H17" s="77">
        <f t="shared" si="3"/>
        <v>-207964.03999999998</v>
      </c>
      <c r="I17" s="77">
        <f t="shared" si="3"/>
        <v>638919.71000000008</v>
      </c>
      <c r="J17" s="77">
        <f t="shared" si="3"/>
        <v>143067.28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11"/>
  <sheetViews>
    <sheetView zoomScaleNormal="100" workbookViewId="0">
      <selection activeCell="J30" sqref="J30"/>
    </sheetView>
  </sheetViews>
  <sheetFormatPr defaultColWidth="9.140625" defaultRowHeight="16.5" x14ac:dyDescent="0.3"/>
  <cols>
    <col min="1" max="1" width="11.85546875" style="2" customWidth="1"/>
    <col min="2" max="2" width="7.85546875" style="2" customWidth="1"/>
    <col min="3" max="3" width="11.85546875" style="2" bestFit="1" customWidth="1"/>
    <col min="4" max="4" width="66.7109375" style="2" customWidth="1"/>
    <col min="5" max="5" width="14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318</v>
      </c>
      <c r="B3" s="5"/>
      <c r="C3" s="6"/>
      <c r="D3" s="2" t="s">
        <v>317</v>
      </c>
      <c r="E3" s="165"/>
      <c r="F3" s="166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26" t="s">
        <v>311</v>
      </c>
      <c r="B7" s="15" t="s">
        <v>51</v>
      </c>
      <c r="C7" s="15" t="s">
        <v>48</v>
      </c>
      <c r="D7" s="16" t="s">
        <v>313</v>
      </c>
      <c r="E7" s="58">
        <v>25000</v>
      </c>
      <c r="F7" s="71">
        <f t="shared" ref="F7:F10" si="0">ROUND(E7/7.5345,2)</f>
        <v>3318.07</v>
      </c>
      <c r="G7" s="72">
        <v>3318.07</v>
      </c>
      <c r="H7" s="72">
        <f>+G7-F7</f>
        <v>0</v>
      </c>
      <c r="I7" s="154">
        <v>3318.07</v>
      </c>
      <c r="J7" s="154">
        <f>+I7-F7</f>
        <v>0</v>
      </c>
    </row>
    <row r="8" spans="1:10" ht="15" customHeight="1" x14ac:dyDescent="0.3">
      <c r="A8" s="19" t="s">
        <v>312</v>
      </c>
      <c r="B8" s="15" t="s">
        <v>51</v>
      </c>
      <c r="C8" s="15" t="s">
        <v>48</v>
      </c>
      <c r="D8" s="21" t="s">
        <v>314</v>
      </c>
      <c r="E8" s="64">
        <v>4000</v>
      </c>
      <c r="F8" s="71">
        <f t="shared" si="0"/>
        <v>530.89</v>
      </c>
      <c r="G8" s="72">
        <v>530.89</v>
      </c>
      <c r="H8" s="72">
        <f t="shared" ref="H8:H10" si="1">+G8-F8</f>
        <v>0</v>
      </c>
      <c r="I8" s="154">
        <v>530.89</v>
      </c>
      <c r="J8" s="154">
        <f t="shared" ref="J8:J10" si="2">+I8-F8</f>
        <v>0</v>
      </c>
    </row>
    <row r="9" spans="1:10" ht="15" customHeight="1" x14ac:dyDescent="0.3">
      <c r="A9" s="88" t="s">
        <v>312</v>
      </c>
      <c r="B9" s="20" t="s">
        <v>51</v>
      </c>
      <c r="C9" s="20" t="s">
        <v>48</v>
      </c>
      <c r="D9" s="21" t="s">
        <v>315</v>
      </c>
      <c r="E9" s="59">
        <v>350</v>
      </c>
      <c r="F9" s="71">
        <f t="shared" si="0"/>
        <v>46.45</v>
      </c>
      <c r="G9" s="72">
        <v>46.45</v>
      </c>
      <c r="H9" s="72">
        <f t="shared" si="1"/>
        <v>0</v>
      </c>
      <c r="I9" s="154">
        <v>46.45</v>
      </c>
      <c r="J9" s="154">
        <f t="shared" si="2"/>
        <v>0</v>
      </c>
    </row>
    <row r="10" spans="1:10" ht="15" customHeight="1" x14ac:dyDescent="0.3">
      <c r="A10" s="19" t="s">
        <v>312</v>
      </c>
      <c r="B10" s="15" t="s">
        <v>51</v>
      </c>
      <c r="C10" s="15" t="s">
        <v>48</v>
      </c>
      <c r="D10" s="28" t="s">
        <v>316</v>
      </c>
      <c r="E10" s="64">
        <v>5650</v>
      </c>
      <c r="F10" s="71">
        <f t="shared" si="0"/>
        <v>749.88</v>
      </c>
      <c r="G10" s="72">
        <v>749.88</v>
      </c>
      <c r="H10" s="72">
        <f t="shared" si="1"/>
        <v>0</v>
      </c>
      <c r="I10" s="154">
        <f>749.88-145</f>
        <v>604.88</v>
      </c>
      <c r="J10" s="154">
        <f t="shared" si="2"/>
        <v>-145</v>
      </c>
    </row>
    <row r="11" spans="1:10" x14ac:dyDescent="0.3">
      <c r="A11" s="48"/>
      <c r="B11" s="48"/>
      <c r="C11" s="48"/>
      <c r="D11" s="49" t="s">
        <v>52</v>
      </c>
      <c r="E11" s="50">
        <f t="shared" ref="E11:J11" si="3">SUM(E7:E10)</f>
        <v>35000</v>
      </c>
      <c r="F11" s="98">
        <f t="shared" si="3"/>
        <v>4645.29</v>
      </c>
      <c r="G11" s="98">
        <f t="shared" si="3"/>
        <v>4645.29</v>
      </c>
      <c r="H11" s="98">
        <f t="shared" si="3"/>
        <v>0</v>
      </c>
      <c r="I11" s="98">
        <f t="shared" si="3"/>
        <v>4500.29</v>
      </c>
      <c r="J11" s="98">
        <f t="shared" si="3"/>
        <v>-145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13"/>
  <sheetViews>
    <sheetView zoomScaleNormal="100" workbookViewId="0">
      <selection activeCell="J12" sqref="J12"/>
    </sheetView>
  </sheetViews>
  <sheetFormatPr defaultColWidth="9.140625" defaultRowHeight="16.5" x14ac:dyDescent="0.3"/>
  <cols>
    <col min="1" max="1" width="11.140625" style="2" customWidth="1"/>
    <col min="2" max="2" width="7.7109375" style="2" customWidth="1"/>
    <col min="3" max="3" width="7.140625" style="2" bestFit="1" customWidth="1"/>
    <col min="4" max="4" width="66.7109375" style="2" customWidth="1"/>
    <col min="5" max="5" width="13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1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1" x14ac:dyDescent="0.3">
      <c r="A2" s="1"/>
      <c r="D2" s="3"/>
      <c r="E2" s="4"/>
    </row>
    <row r="3" spans="1:11" ht="15" customHeight="1" x14ac:dyDescent="0.3">
      <c r="A3" s="5" t="s">
        <v>326</v>
      </c>
      <c r="B3" s="5"/>
      <c r="C3" s="6"/>
      <c r="D3" s="2" t="s">
        <v>327</v>
      </c>
      <c r="E3" s="165"/>
      <c r="F3" s="166"/>
      <c r="G3" s="53"/>
      <c r="H3" s="53"/>
    </row>
    <row r="6" spans="1:11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54" t="s">
        <v>461</v>
      </c>
      <c r="H6" s="54" t="s">
        <v>460</v>
      </c>
      <c r="I6" s="10" t="s">
        <v>465</v>
      </c>
      <c r="J6" s="11" t="s">
        <v>460</v>
      </c>
    </row>
    <row r="7" spans="1:11" ht="28.5" customHeight="1" x14ac:dyDescent="0.3">
      <c r="A7" s="99" t="s">
        <v>321</v>
      </c>
      <c r="B7" s="24" t="s">
        <v>51</v>
      </c>
      <c r="C7" s="24" t="s">
        <v>49</v>
      </c>
      <c r="D7" s="80" t="s">
        <v>325</v>
      </c>
      <c r="E7" s="100">
        <v>66000</v>
      </c>
      <c r="F7" s="75">
        <f t="shared" ref="F7:F12" si="0">ROUND(E7/7.5345,2)</f>
        <v>8759.7099999999991</v>
      </c>
      <c r="G7" s="75">
        <v>8159.67</v>
      </c>
      <c r="H7" s="75">
        <f>+G7-F7</f>
        <v>-600.03999999999905</v>
      </c>
      <c r="I7" s="75">
        <f>+F7</f>
        <v>8759.7099999999991</v>
      </c>
      <c r="J7" s="104">
        <f t="shared" ref="J7:J12" si="1">+I7-F7</f>
        <v>0</v>
      </c>
    </row>
    <row r="8" spans="1:11" ht="24.75" customHeight="1" x14ac:dyDescent="0.3">
      <c r="A8" s="99" t="s">
        <v>321</v>
      </c>
      <c r="B8" s="24" t="s">
        <v>51</v>
      </c>
      <c r="C8" s="24" t="s">
        <v>48</v>
      </c>
      <c r="D8" s="80" t="s">
        <v>472</v>
      </c>
      <c r="E8" s="100">
        <v>4000</v>
      </c>
      <c r="F8" s="75">
        <f t="shared" si="0"/>
        <v>530.89</v>
      </c>
      <c r="G8" s="75">
        <v>530.89</v>
      </c>
      <c r="H8" s="75">
        <f t="shared" ref="H8:H12" si="2">+G8-F8</f>
        <v>0</v>
      </c>
      <c r="I8" s="104">
        <f>+F8</f>
        <v>530.89</v>
      </c>
      <c r="J8" s="104">
        <f t="shared" si="1"/>
        <v>0</v>
      </c>
    </row>
    <row r="9" spans="1:11" ht="15" customHeight="1" x14ac:dyDescent="0.3">
      <c r="A9" s="14" t="s">
        <v>319</v>
      </c>
      <c r="B9" s="24" t="s">
        <v>51</v>
      </c>
      <c r="C9" s="24" t="s">
        <v>63</v>
      </c>
      <c r="D9" s="16" t="s">
        <v>322</v>
      </c>
      <c r="E9" s="23">
        <v>200000</v>
      </c>
      <c r="F9" s="75">
        <f t="shared" si="0"/>
        <v>26544.560000000001</v>
      </c>
      <c r="G9" s="75"/>
      <c r="H9" s="75">
        <f t="shared" si="2"/>
        <v>-26544.560000000001</v>
      </c>
      <c r="I9" s="104">
        <v>25000</v>
      </c>
      <c r="J9" s="104">
        <f t="shared" si="1"/>
        <v>-1544.5600000000013</v>
      </c>
      <c r="K9" s="2" t="s">
        <v>467</v>
      </c>
    </row>
    <row r="10" spans="1:11" ht="15" customHeight="1" x14ac:dyDescent="0.3">
      <c r="A10" s="99" t="s">
        <v>320</v>
      </c>
      <c r="B10" s="101" t="s">
        <v>51</v>
      </c>
      <c r="C10" s="101" t="s">
        <v>48</v>
      </c>
      <c r="D10" s="80" t="s">
        <v>324</v>
      </c>
      <c r="E10" s="96">
        <v>70000</v>
      </c>
      <c r="F10" s="75">
        <f t="shared" si="0"/>
        <v>9290.6</v>
      </c>
      <c r="G10" s="75">
        <v>9290.6</v>
      </c>
      <c r="H10" s="75">
        <f t="shared" si="2"/>
        <v>0</v>
      </c>
      <c r="I10" s="104">
        <f>+F10</f>
        <v>9290.6</v>
      </c>
      <c r="J10" s="104">
        <f t="shared" si="1"/>
        <v>0</v>
      </c>
    </row>
    <row r="11" spans="1:11" ht="15" customHeight="1" x14ac:dyDescent="0.3">
      <c r="A11" s="47" t="s">
        <v>121</v>
      </c>
      <c r="B11" s="24"/>
      <c r="C11" s="24"/>
      <c r="D11" s="97" t="s">
        <v>323</v>
      </c>
      <c r="E11" s="74">
        <v>120000</v>
      </c>
      <c r="F11" s="75">
        <f t="shared" si="0"/>
        <v>15926.74</v>
      </c>
      <c r="G11" s="75"/>
      <c r="H11" s="75">
        <f t="shared" si="2"/>
        <v>-15926.74</v>
      </c>
      <c r="I11" s="104">
        <v>15926</v>
      </c>
      <c r="J11" s="104">
        <v>0</v>
      </c>
    </row>
    <row r="12" spans="1:11" ht="15" customHeight="1" x14ac:dyDescent="0.3">
      <c r="A12" s="24" t="s">
        <v>121</v>
      </c>
      <c r="B12" s="24"/>
      <c r="C12" s="24"/>
      <c r="D12" s="102" t="s">
        <v>441</v>
      </c>
      <c r="E12" s="44">
        <v>40000</v>
      </c>
      <c r="F12" s="75">
        <f t="shared" si="0"/>
        <v>5308.91</v>
      </c>
      <c r="G12" s="75"/>
      <c r="H12" s="75">
        <f t="shared" si="2"/>
        <v>-5308.91</v>
      </c>
      <c r="I12" s="104">
        <v>5308.91</v>
      </c>
      <c r="J12" s="104">
        <f t="shared" si="1"/>
        <v>0</v>
      </c>
    </row>
    <row r="13" spans="1:11" x14ac:dyDescent="0.3">
      <c r="A13" s="48"/>
      <c r="B13" s="48"/>
      <c r="C13" s="48"/>
      <c r="D13" s="49" t="s">
        <v>52</v>
      </c>
      <c r="E13" s="50">
        <f t="shared" ref="E13:J13" si="3">SUM(E7:E12)</f>
        <v>500000</v>
      </c>
      <c r="F13" s="77">
        <f t="shared" si="3"/>
        <v>66361.41</v>
      </c>
      <c r="G13" s="77">
        <f t="shared" si="3"/>
        <v>17981.16</v>
      </c>
      <c r="H13" s="77">
        <f t="shared" si="3"/>
        <v>-48380.25</v>
      </c>
      <c r="I13" s="77">
        <f t="shared" si="3"/>
        <v>64816.11</v>
      </c>
      <c r="J13" s="77">
        <f t="shared" si="3"/>
        <v>-1544.5600000000013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J8"/>
  <sheetViews>
    <sheetView zoomScaleNormal="100" workbookViewId="0">
      <selection activeCell="F12" sqref="F12:I12"/>
    </sheetView>
  </sheetViews>
  <sheetFormatPr defaultColWidth="9.140625" defaultRowHeight="16.5" x14ac:dyDescent="0.3"/>
  <cols>
    <col min="1" max="1" width="11.7109375" style="2" customWidth="1"/>
    <col min="2" max="2" width="7.42578125" style="2" customWidth="1"/>
    <col min="3" max="3" width="7.140625" style="2" bestFit="1" customWidth="1"/>
    <col min="4" max="4" width="37.7109375" style="2" customWidth="1"/>
    <col min="5" max="5" width="13.710937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331</v>
      </c>
      <c r="B3" s="5"/>
      <c r="C3" s="6"/>
      <c r="D3" s="2" t="s">
        <v>330</v>
      </c>
      <c r="E3" s="165"/>
      <c r="F3" s="166"/>
    </row>
    <row r="4" spans="1:10" x14ac:dyDescent="0.3">
      <c r="A4" s="41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x14ac:dyDescent="0.3">
      <c r="A7" s="43" t="s">
        <v>328</v>
      </c>
      <c r="B7" s="15" t="s">
        <v>51</v>
      </c>
      <c r="C7" s="15" t="s">
        <v>63</v>
      </c>
      <c r="D7" s="43" t="s">
        <v>329</v>
      </c>
      <c r="E7" s="103">
        <v>928000</v>
      </c>
      <c r="F7" s="75">
        <f>ROUND(E7/7.5345,2)</f>
        <v>123166.77</v>
      </c>
      <c r="G7" s="104">
        <v>0</v>
      </c>
      <c r="H7" s="104">
        <f>+G7-F7</f>
        <v>-123166.77</v>
      </c>
      <c r="I7" s="75">
        <v>125500</v>
      </c>
      <c r="J7" s="104">
        <f>+I7-F7</f>
        <v>2333.2299999999959</v>
      </c>
    </row>
    <row r="8" spans="1:10" x14ac:dyDescent="0.3">
      <c r="A8" s="48"/>
      <c r="B8" s="48"/>
      <c r="C8" s="48"/>
      <c r="D8" s="49" t="s">
        <v>52</v>
      </c>
      <c r="E8" s="50">
        <f t="shared" ref="E8:J8" si="0">SUM(E7:E7)</f>
        <v>928000</v>
      </c>
      <c r="F8" s="77">
        <f t="shared" si="0"/>
        <v>123166.77</v>
      </c>
      <c r="G8" s="77">
        <f t="shared" si="0"/>
        <v>0</v>
      </c>
      <c r="H8" s="77">
        <f t="shared" si="0"/>
        <v>-123166.77</v>
      </c>
      <c r="I8" s="77">
        <f t="shared" si="0"/>
        <v>125500</v>
      </c>
      <c r="J8" s="77">
        <f t="shared" si="0"/>
        <v>2333.2299999999959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J13"/>
  <sheetViews>
    <sheetView zoomScaleNormal="100" workbookViewId="0">
      <selection activeCell="F7" sqref="F7"/>
    </sheetView>
  </sheetViews>
  <sheetFormatPr defaultColWidth="9.140625" defaultRowHeight="15.75" x14ac:dyDescent="0.25"/>
  <cols>
    <col min="1" max="1" width="12.140625" style="105" customWidth="1"/>
    <col min="2" max="2" width="7.28515625" style="105" customWidth="1"/>
    <col min="3" max="3" width="8.7109375" style="105" bestFit="1" customWidth="1"/>
    <col min="4" max="4" width="66.7109375" style="105" customWidth="1"/>
    <col min="5" max="5" width="14.140625" style="105" hidden="1" customWidth="1"/>
    <col min="6" max="6" width="9.42578125" style="105" customWidth="1"/>
    <col min="7" max="8" width="9.42578125" style="105" hidden="1" customWidth="1"/>
    <col min="9" max="10" width="9.42578125" style="105" customWidth="1"/>
    <col min="11" max="16384" width="9.140625" style="105"/>
  </cols>
  <sheetData>
    <row r="1" spans="1:10" x14ac:dyDescent="0.25">
      <c r="A1" s="157" t="s">
        <v>468</v>
      </c>
      <c r="B1" s="169"/>
      <c r="C1" s="169"/>
      <c r="D1" s="169"/>
      <c r="E1" s="169"/>
      <c r="G1" s="40">
        <v>2023</v>
      </c>
    </row>
    <row r="2" spans="1:10" x14ac:dyDescent="0.25">
      <c r="A2" s="1"/>
      <c r="D2" s="106"/>
      <c r="E2" s="107"/>
    </row>
    <row r="3" spans="1:10" ht="15" customHeight="1" x14ac:dyDescent="0.25">
      <c r="A3" s="108" t="s">
        <v>332</v>
      </c>
      <c r="B3" s="108"/>
      <c r="C3" s="109"/>
      <c r="D3" s="105" t="s">
        <v>333</v>
      </c>
      <c r="E3" s="170"/>
      <c r="F3" s="171"/>
    </row>
    <row r="4" spans="1:10" x14ac:dyDescent="0.25">
      <c r="A4" s="40"/>
    </row>
    <row r="6" spans="1:10" ht="39" customHeight="1" x14ac:dyDescent="0.25">
      <c r="A6" s="110" t="s">
        <v>0</v>
      </c>
      <c r="B6" s="8" t="s">
        <v>1</v>
      </c>
      <c r="C6" s="111" t="s">
        <v>2</v>
      </c>
      <c r="D6" s="110" t="s">
        <v>3</v>
      </c>
      <c r="E6" s="111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25">
      <c r="A7" s="113" t="s">
        <v>334</v>
      </c>
      <c r="B7" s="114" t="s">
        <v>50</v>
      </c>
      <c r="C7" s="114" t="s">
        <v>63</v>
      </c>
      <c r="D7" s="115" t="s">
        <v>338</v>
      </c>
      <c r="E7" s="116">
        <v>282000</v>
      </c>
      <c r="F7" s="75">
        <f t="shared" ref="F7:F12" si="0">ROUND(E7/7.5345,2)</f>
        <v>37427.83</v>
      </c>
      <c r="G7" s="104">
        <v>37427.83</v>
      </c>
      <c r="H7" s="104">
        <f>+G7-F7</f>
        <v>0</v>
      </c>
      <c r="I7" s="104">
        <f>41000+6386</f>
        <v>47386</v>
      </c>
      <c r="J7" s="104">
        <f>+I7-F7</f>
        <v>9958.1699999999983</v>
      </c>
    </row>
    <row r="8" spans="1:10" ht="15" customHeight="1" x14ac:dyDescent="0.25">
      <c r="A8" s="117" t="s">
        <v>336</v>
      </c>
      <c r="B8" s="114" t="s">
        <v>50</v>
      </c>
      <c r="C8" s="114" t="s">
        <v>48</v>
      </c>
      <c r="D8" s="118" t="s">
        <v>473</v>
      </c>
      <c r="E8" s="119">
        <v>16000</v>
      </c>
      <c r="F8" s="75">
        <f t="shared" si="0"/>
        <v>2123.56</v>
      </c>
      <c r="G8" s="104">
        <v>2654.28</v>
      </c>
      <c r="H8" s="104">
        <f t="shared" ref="H8:H12" si="1">+G8-F8</f>
        <v>530.72000000000025</v>
      </c>
      <c r="I8" s="104">
        <f>+F8</f>
        <v>2123.56</v>
      </c>
      <c r="J8" s="104">
        <v>0</v>
      </c>
    </row>
    <row r="9" spans="1:10" ht="15" customHeight="1" x14ac:dyDescent="0.25">
      <c r="A9" s="117" t="s">
        <v>335</v>
      </c>
      <c r="B9" s="114" t="s">
        <v>50</v>
      </c>
      <c r="C9" s="114" t="s">
        <v>48</v>
      </c>
      <c r="D9" s="115" t="s">
        <v>339</v>
      </c>
      <c r="E9" s="120">
        <v>15000</v>
      </c>
      <c r="F9" s="75">
        <f t="shared" si="0"/>
        <v>1990.84</v>
      </c>
      <c r="G9" s="104">
        <v>3800.96</v>
      </c>
      <c r="H9" s="104">
        <f t="shared" si="1"/>
        <v>1810.1200000000001</v>
      </c>
      <c r="I9" s="104">
        <f>+F9</f>
        <v>1990.84</v>
      </c>
      <c r="J9" s="104">
        <v>0</v>
      </c>
    </row>
    <row r="10" spans="1:10" ht="15" customHeight="1" x14ac:dyDescent="0.25">
      <c r="A10" s="121" t="s">
        <v>370</v>
      </c>
      <c r="B10" s="114" t="s">
        <v>50</v>
      </c>
      <c r="C10" s="114" t="s">
        <v>48</v>
      </c>
      <c r="D10" s="122" t="s">
        <v>490</v>
      </c>
      <c r="E10" s="120">
        <v>18000</v>
      </c>
      <c r="F10" s="75">
        <f t="shared" si="0"/>
        <v>2389.0100000000002</v>
      </c>
      <c r="G10" s="104">
        <v>0</v>
      </c>
      <c r="H10" s="104">
        <f t="shared" si="1"/>
        <v>-2389.0100000000002</v>
      </c>
      <c r="I10" s="104">
        <f>50*4</f>
        <v>200</v>
      </c>
      <c r="J10" s="104">
        <f>+I10-F10</f>
        <v>-2189.0100000000002</v>
      </c>
    </row>
    <row r="11" spans="1:10" ht="15" customHeight="1" x14ac:dyDescent="0.25">
      <c r="A11" s="117" t="s">
        <v>337</v>
      </c>
      <c r="B11" s="114" t="s">
        <v>50</v>
      </c>
      <c r="C11" s="114" t="s">
        <v>48</v>
      </c>
      <c r="D11" s="115" t="s">
        <v>340</v>
      </c>
      <c r="E11" s="120">
        <v>3000</v>
      </c>
      <c r="F11" s="75">
        <f t="shared" si="0"/>
        <v>398.17</v>
      </c>
      <c r="G11" s="104">
        <v>398.17</v>
      </c>
      <c r="H11" s="104">
        <f t="shared" si="1"/>
        <v>0</v>
      </c>
      <c r="I11" s="104">
        <v>0</v>
      </c>
      <c r="J11" s="104">
        <f>+F11</f>
        <v>398.17</v>
      </c>
    </row>
    <row r="12" spans="1:10" ht="15" customHeight="1" x14ac:dyDescent="0.25">
      <c r="A12" s="123"/>
      <c r="B12" s="114"/>
      <c r="C12" s="114"/>
      <c r="D12" s="124" t="s">
        <v>341</v>
      </c>
      <c r="E12" s="125">
        <v>8000</v>
      </c>
      <c r="F12" s="75">
        <f t="shared" si="0"/>
        <v>1061.78</v>
      </c>
      <c r="G12" s="104">
        <v>0</v>
      </c>
      <c r="H12" s="104">
        <f t="shared" si="1"/>
        <v>-1061.78</v>
      </c>
      <c r="I12" s="104">
        <v>0</v>
      </c>
      <c r="J12" s="104">
        <f>+F12</f>
        <v>1061.78</v>
      </c>
    </row>
    <row r="13" spans="1:10" x14ac:dyDescent="0.25">
      <c r="A13" s="126"/>
      <c r="B13" s="126"/>
      <c r="C13" s="126"/>
      <c r="D13" s="127" t="s">
        <v>52</v>
      </c>
      <c r="E13" s="128">
        <f t="shared" ref="E13:J13" si="2">SUM(E7:E12)</f>
        <v>342000</v>
      </c>
      <c r="F13" s="130">
        <f t="shared" si="2"/>
        <v>45391.189999999995</v>
      </c>
      <c r="G13" s="130">
        <f t="shared" si="2"/>
        <v>44281.24</v>
      </c>
      <c r="H13" s="130">
        <f t="shared" si="2"/>
        <v>-1109.95</v>
      </c>
      <c r="I13" s="130">
        <f t="shared" si="2"/>
        <v>51700.399999999994</v>
      </c>
      <c r="J13" s="130">
        <f t="shared" si="2"/>
        <v>9229.1099999999988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J9"/>
  <sheetViews>
    <sheetView zoomScale="115" zoomScaleNormal="115" workbookViewId="0">
      <selection activeCell="J9" sqref="J9"/>
    </sheetView>
  </sheetViews>
  <sheetFormatPr defaultColWidth="9.140625" defaultRowHeight="16.5" x14ac:dyDescent="0.3"/>
  <cols>
    <col min="1" max="1" width="12" style="2" customWidth="1"/>
    <col min="2" max="2" width="7.28515625" style="2" bestFit="1" customWidth="1"/>
    <col min="3" max="3" width="7.140625" style="2" bestFit="1" customWidth="1"/>
    <col min="4" max="4" width="66.7109375" style="2" customWidth="1"/>
    <col min="5" max="5" width="13.57031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345</v>
      </c>
      <c r="B3" s="5"/>
      <c r="C3" s="6"/>
      <c r="D3" s="2" t="s">
        <v>344</v>
      </c>
      <c r="E3" s="165"/>
      <c r="F3" s="166"/>
    </row>
    <row r="4" spans="1:10" x14ac:dyDescent="0.3">
      <c r="A4" s="41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40.5" x14ac:dyDescent="0.3">
      <c r="A7" s="14" t="s">
        <v>342</v>
      </c>
      <c r="B7" s="87" t="s">
        <v>51</v>
      </c>
      <c r="C7" s="87" t="s">
        <v>48</v>
      </c>
      <c r="D7" s="55" t="s">
        <v>482</v>
      </c>
      <c r="E7" s="23">
        <v>190000</v>
      </c>
      <c r="F7" s="71">
        <f>ROUND(E7/7.5345,2)</f>
        <v>25217.33</v>
      </c>
      <c r="G7" s="72">
        <v>25217.33</v>
      </c>
      <c r="H7" s="72">
        <f>+G7-F7</f>
        <v>0</v>
      </c>
      <c r="I7" s="71">
        <v>17500</v>
      </c>
      <c r="J7" s="71">
        <f>+I7-F7</f>
        <v>-7717.3300000000017</v>
      </c>
    </row>
    <row r="8" spans="1:10" x14ac:dyDescent="0.3">
      <c r="A8" s="14" t="s">
        <v>342</v>
      </c>
      <c r="B8" s="24" t="s">
        <v>51</v>
      </c>
      <c r="C8" s="24" t="s">
        <v>48</v>
      </c>
      <c r="D8" s="43" t="s">
        <v>343</v>
      </c>
      <c r="E8" s="65">
        <v>80000</v>
      </c>
      <c r="F8" s="71">
        <f>ROUND(E8/7.5345,2)+6504</f>
        <v>17121.82</v>
      </c>
      <c r="G8" s="72">
        <v>10617.82</v>
      </c>
      <c r="H8" s="72">
        <f>+G8-F8</f>
        <v>-6504</v>
      </c>
      <c r="I8" s="154">
        <f>+F8</f>
        <v>17121.82</v>
      </c>
      <c r="J8" s="154"/>
    </row>
    <row r="9" spans="1:10" x14ac:dyDescent="0.3">
      <c r="A9" s="48"/>
      <c r="B9" s="48"/>
      <c r="C9" s="48"/>
      <c r="D9" s="49" t="s">
        <v>52</v>
      </c>
      <c r="E9" s="50">
        <f t="shared" ref="E9:J9" si="0">SUM(E7:E8)</f>
        <v>270000</v>
      </c>
      <c r="F9" s="98">
        <f t="shared" si="0"/>
        <v>42339.15</v>
      </c>
      <c r="G9" s="98">
        <f t="shared" si="0"/>
        <v>35835.15</v>
      </c>
      <c r="H9" s="98">
        <f t="shared" si="0"/>
        <v>-6504</v>
      </c>
      <c r="I9" s="98">
        <f t="shared" si="0"/>
        <v>34621.82</v>
      </c>
      <c r="J9" s="98">
        <f t="shared" si="0"/>
        <v>-7717.3300000000017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J9"/>
  <sheetViews>
    <sheetView zoomScaleNormal="100" workbookViewId="0">
      <selection activeCell="K22" sqref="K22"/>
    </sheetView>
  </sheetViews>
  <sheetFormatPr defaultColWidth="9.140625" defaultRowHeight="16.5" x14ac:dyDescent="0.3"/>
  <cols>
    <col min="1" max="1" width="11.42578125" style="2" customWidth="1"/>
    <col min="2" max="2" width="7.28515625" style="2" customWidth="1"/>
    <col min="3" max="3" width="7.140625" style="2" bestFit="1" customWidth="1"/>
    <col min="4" max="4" width="66.7109375" style="2" customWidth="1"/>
    <col min="5" max="5" width="13.8554687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346</v>
      </c>
      <c r="B3" s="5"/>
      <c r="C3" s="6"/>
      <c r="D3" s="2" t="s">
        <v>347</v>
      </c>
      <c r="E3" s="165"/>
      <c r="F3" s="166"/>
    </row>
    <row r="4" spans="1:10" x14ac:dyDescent="0.3">
      <c r="A4" s="41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7.25" customHeight="1" x14ac:dyDescent="0.3">
      <c r="A7" s="43" t="s">
        <v>198</v>
      </c>
      <c r="B7" s="15" t="s">
        <v>51</v>
      </c>
      <c r="C7" s="15" t="s">
        <v>48</v>
      </c>
      <c r="D7" s="43" t="s">
        <v>348</v>
      </c>
      <c r="E7" s="64">
        <v>27000</v>
      </c>
      <c r="F7" s="71">
        <f>ROUND(E7/7.5345,2)</f>
        <v>3583.52</v>
      </c>
      <c r="G7" s="72">
        <v>3583.52</v>
      </c>
      <c r="H7" s="72">
        <f>+G7-F7</f>
        <v>0</v>
      </c>
      <c r="I7" s="154">
        <f>+F7</f>
        <v>3583.52</v>
      </c>
      <c r="J7" s="154">
        <f>+I7-F7</f>
        <v>0</v>
      </c>
    </row>
    <row r="8" spans="1:10" x14ac:dyDescent="0.3">
      <c r="A8" s="18"/>
      <c r="B8" s="18"/>
      <c r="C8" s="18"/>
      <c r="D8" s="18"/>
      <c r="E8" s="18"/>
      <c r="F8" s="72"/>
      <c r="G8" s="72"/>
      <c r="H8" s="72"/>
      <c r="I8" s="72"/>
      <c r="J8" s="72"/>
    </row>
    <row r="9" spans="1:10" x14ac:dyDescent="0.3">
      <c r="A9" s="48"/>
      <c r="B9" s="48"/>
      <c r="C9" s="48"/>
      <c r="D9" s="49" t="s">
        <v>52</v>
      </c>
      <c r="E9" s="50">
        <f t="shared" ref="E9:J9" si="0">SUM(E7:E7)</f>
        <v>27000</v>
      </c>
      <c r="F9" s="98">
        <f t="shared" si="0"/>
        <v>3583.52</v>
      </c>
      <c r="G9" s="98">
        <f t="shared" si="0"/>
        <v>3583.52</v>
      </c>
      <c r="H9" s="98">
        <f t="shared" si="0"/>
        <v>0</v>
      </c>
      <c r="I9" s="98">
        <f t="shared" si="0"/>
        <v>3583.52</v>
      </c>
      <c r="J9" s="98">
        <f t="shared" si="0"/>
        <v>0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J24"/>
  <sheetViews>
    <sheetView zoomScale="115" zoomScaleNormal="115" workbookViewId="0">
      <selection activeCell="D25" sqref="D25"/>
    </sheetView>
  </sheetViews>
  <sheetFormatPr defaultColWidth="9.140625" defaultRowHeight="16.5" x14ac:dyDescent="0.3"/>
  <cols>
    <col min="1" max="1" width="11.5703125" style="2" customWidth="1"/>
    <col min="2" max="2" width="7.7109375" style="2" customWidth="1"/>
    <col min="3" max="3" width="7.140625" style="2" bestFit="1" customWidth="1"/>
    <col min="4" max="4" width="66.7109375" style="2" customWidth="1"/>
    <col min="5" max="5" width="15.140625" style="2" hidden="1" customWidth="1"/>
    <col min="6" max="6" width="12" style="2" customWidth="1"/>
    <col min="7" max="7" width="15.85546875" style="2" hidden="1" customWidth="1"/>
    <col min="8" max="8" width="11.7109375" style="2" hidden="1" customWidth="1"/>
    <col min="9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365</v>
      </c>
      <c r="B3" s="5"/>
      <c r="C3" s="6"/>
      <c r="D3" s="2" t="s">
        <v>366</v>
      </c>
      <c r="E3" s="165"/>
      <c r="F3" s="166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x14ac:dyDescent="0.3">
      <c r="A7" s="47" t="s">
        <v>284</v>
      </c>
      <c r="B7" s="24" t="s">
        <v>51</v>
      </c>
      <c r="C7" s="24" t="s">
        <v>48</v>
      </c>
      <c r="D7" s="16" t="s">
        <v>357</v>
      </c>
      <c r="E7" s="60">
        <v>50000</v>
      </c>
      <c r="F7" s="71">
        <f t="shared" ref="F7:F17" si="0">ROUND(E7/7.5345,2)</f>
        <v>6636.14</v>
      </c>
      <c r="G7" s="72">
        <v>6636.14</v>
      </c>
      <c r="H7" s="72">
        <f>+G7-F7</f>
        <v>0</v>
      </c>
      <c r="I7" s="154">
        <v>5800</v>
      </c>
      <c r="J7" s="154">
        <f>+I7-F7</f>
        <v>-836.14000000000033</v>
      </c>
    </row>
    <row r="8" spans="1:10" ht="43.5" customHeight="1" x14ac:dyDescent="0.3">
      <c r="A8" s="14" t="s">
        <v>202</v>
      </c>
      <c r="B8" s="24" t="s">
        <v>51</v>
      </c>
      <c r="C8" s="24" t="s">
        <v>63</v>
      </c>
      <c r="D8" s="16" t="s">
        <v>358</v>
      </c>
      <c r="E8" s="68">
        <v>1822000</v>
      </c>
      <c r="F8" s="71">
        <f>130000+9512</f>
        <v>139512</v>
      </c>
      <c r="G8" s="72">
        <v>241555.51</v>
      </c>
      <c r="H8" s="72">
        <f t="shared" ref="H8:H22" si="1">+G8-F8</f>
        <v>102043.51000000001</v>
      </c>
      <c r="I8" s="71">
        <f>130000+12400+26000+11662</f>
        <v>180062</v>
      </c>
      <c r="J8" s="71">
        <f t="shared" ref="J8:J23" si="2">+I8-F8</f>
        <v>40550</v>
      </c>
    </row>
    <row r="9" spans="1:10" x14ac:dyDescent="0.3">
      <c r="A9" s="14" t="s">
        <v>349</v>
      </c>
      <c r="B9" s="24" t="s">
        <v>51</v>
      </c>
      <c r="C9" s="24" t="s">
        <v>48</v>
      </c>
      <c r="D9" s="16" t="s">
        <v>359</v>
      </c>
      <c r="E9" s="56">
        <v>3000</v>
      </c>
      <c r="F9" s="71">
        <f t="shared" si="0"/>
        <v>398.17</v>
      </c>
      <c r="G9" s="72">
        <v>398.17</v>
      </c>
      <c r="H9" s="72">
        <f t="shared" si="1"/>
        <v>0</v>
      </c>
      <c r="I9" s="154">
        <f>+F9</f>
        <v>398.17</v>
      </c>
      <c r="J9" s="154">
        <f t="shared" si="2"/>
        <v>0</v>
      </c>
    </row>
    <row r="10" spans="1:10" x14ac:dyDescent="0.3">
      <c r="A10" s="14" t="s">
        <v>350</v>
      </c>
      <c r="B10" s="24" t="s">
        <v>51</v>
      </c>
      <c r="C10" s="24" t="s">
        <v>48</v>
      </c>
      <c r="D10" s="16" t="s">
        <v>360</v>
      </c>
      <c r="E10" s="68">
        <v>1000</v>
      </c>
      <c r="F10" s="71">
        <f t="shared" si="0"/>
        <v>132.72</v>
      </c>
      <c r="G10" s="72">
        <v>132.72</v>
      </c>
      <c r="H10" s="72">
        <f t="shared" si="1"/>
        <v>0</v>
      </c>
      <c r="I10" s="154">
        <f>+F10</f>
        <v>132.72</v>
      </c>
      <c r="J10" s="154">
        <f t="shared" si="2"/>
        <v>0</v>
      </c>
    </row>
    <row r="11" spans="1:10" x14ac:dyDescent="0.3">
      <c r="A11" s="14" t="s">
        <v>351</v>
      </c>
      <c r="B11" s="24" t="s">
        <v>51</v>
      </c>
      <c r="C11" s="24" t="s">
        <v>48</v>
      </c>
      <c r="D11" s="43" t="s">
        <v>483</v>
      </c>
      <c r="E11" s="56">
        <v>80000</v>
      </c>
      <c r="F11" s="71">
        <v>65000</v>
      </c>
      <c r="G11" s="72">
        <v>10617.82</v>
      </c>
      <c r="H11" s="72">
        <f t="shared" si="1"/>
        <v>-54382.18</v>
      </c>
      <c r="I11" s="154">
        <f>+F11</f>
        <v>65000</v>
      </c>
      <c r="J11" s="154">
        <f t="shared" si="2"/>
        <v>0</v>
      </c>
    </row>
    <row r="12" spans="1:10" hidden="1" x14ac:dyDescent="0.3">
      <c r="A12" s="14" t="s">
        <v>352</v>
      </c>
      <c r="B12" s="24" t="s">
        <v>51</v>
      </c>
      <c r="C12" s="24" t="s">
        <v>48</v>
      </c>
      <c r="D12" s="55" t="s">
        <v>361</v>
      </c>
      <c r="E12" s="68">
        <v>12880</v>
      </c>
      <c r="F12" s="71">
        <f t="shared" si="0"/>
        <v>1709.47</v>
      </c>
      <c r="G12" s="72">
        <v>1709.47</v>
      </c>
      <c r="H12" s="72">
        <f t="shared" si="1"/>
        <v>0</v>
      </c>
      <c r="I12" s="154">
        <v>1709.47</v>
      </c>
      <c r="J12" s="154">
        <f t="shared" si="2"/>
        <v>0</v>
      </c>
    </row>
    <row r="13" spans="1:10" hidden="1" x14ac:dyDescent="0.3">
      <c r="A13" s="47" t="s">
        <v>353</v>
      </c>
      <c r="B13" s="24" t="s">
        <v>51</v>
      </c>
      <c r="C13" s="24" t="s">
        <v>48</v>
      </c>
      <c r="D13" s="16" t="s">
        <v>362</v>
      </c>
      <c r="E13" s="56">
        <v>5000</v>
      </c>
      <c r="F13" s="71">
        <f t="shared" si="0"/>
        <v>663.61</v>
      </c>
      <c r="G13" s="72">
        <v>663.61</v>
      </c>
      <c r="H13" s="72">
        <f t="shared" si="1"/>
        <v>0</v>
      </c>
      <c r="I13" s="154">
        <v>663.61</v>
      </c>
      <c r="J13" s="154">
        <f t="shared" si="2"/>
        <v>0</v>
      </c>
    </row>
    <row r="14" spans="1:10" ht="27" hidden="1" x14ac:dyDescent="0.3">
      <c r="A14" s="19" t="s">
        <v>354</v>
      </c>
      <c r="B14" s="24" t="s">
        <v>51</v>
      </c>
      <c r="C14" s="24" t="s">
        <v>48</v>
      </c>
      <c r="D14" s="57" t="s">
        <v>363</v>
      </c>
      <c r="E14" s="68">
        <v>23000</v>
      </c>
      <c r="F14" s="71">
        <f t="shared" si="0"/>
        <v>3052.62</v>
      </c>
      <c r="G14" s="72">
        <v>3052.62</v>
      </c>
      <c r="H14" s="72">
        <f t="shared" si="1"/>
        <v>0</v>
      </c>
      <c r="I14" s="154">
        <v>3052.62</v>
      </c>
      <c r="J14" s="154">
        <f t="shared" si="2"/>
        <v>0</v>
      </c>
    </row>
    <row r="15" spans="1:10" hidden="1" x14ac:dyDescent="0.3">
      <c r="A15" s="19" t="s">
        <v>355</v>
      </c>
      <c r="B15" s="24" t="s">
        <v>51</v>
      </c>
      <c r="C15" s="24" t="s">
        <v>48</v>
      </c>
      <c r="D15" s="57" t="s">
        <v>413</v>
      </c>
      <c r="E15" s="68">
        <v>20000</v>
      </c>
      <c r="F15" s="71">
        <f t="shared" si="0"/>
        <v>2654.46</v>
      </c>
      <c r="G15" s="72">
        <v>2654.46</v>
      </c>
      <c r="H15" s="72">
        <f t="shared" si="1"/>
        <v>0</v>
      </c>
      <c r="I15" s="154">
        <v>2654.46</v>
      </c>
      <c r="J15" s="154">
        <f t="shared" si="2"/>
        <v>0</v>
      </c>
    </row>
    <row r="16" spans="1:10" hidden="1" x14ac:dyDescent="0.3">
      <c r="A16" s="27" t="s">
        <v>356</v>
      </c>
      <c r="B16" s="24" t="s">
        <v>51</v>
      </c>
      <c r="C16" s="24" t="s">
        <v>48</v>
      </c>
      <c r="D16" s="28" t="s">
        <v>364</v>
      </c>
      <c r="E16" s="81">
        <v>20000</v>
      </c>
      <c r="F16" s="71">
        <f t="shared" si="0"/>
        <v>2654.46</v>
      </c>
      <c r="G16" s="72">
        <v>2654.46</v>
      </c>
      <c r="H16" s="72">
        <f t="shared" si="1"/>
        <v>0</v>
      </c>
      <c r="I16" s="154">
        <v>2654.46</v>
      </c>
      <c r="J16" s="154">
        <f t="shared" si="2"/>
        <v>0</v>
      </c>
    </row>
    <row r="17" spans="1:10" hidden="1" x14ac:dyDescent="0.3">
      <c r="A17" s="14" t="s">
        <v>417</v>
      </c>
      <c r="B17" s="24" t="s">
        <v>51</v>
      </c>
      <c r="C17" s="24" t="s">
        <v>48</v>
      </c>
      <c r="D17" s="43" t="s">
        <v>454</v>
      </c>
      <c r="E17" s="64">
        <v>120</v>
      </c>
      <c r="F17" s="71">
        <f t="shared" si="0"/>
        <v>15.93</v>
      </c>
      <c r="G17" s="72">
        <v>15.93</v>
      </c>
      <c r="H17" s="72">
        <f t="shared" si="1"/>
        <v>0</v>
      </c>
      <c r="I17" s="154">
        <v>15.93</v>
      </c>
      <c r="J17" s="154">
        <f t="shared" si="2"/>
        <v>0</v>
      </c>
    </row>
    <row r="18" spans="1:10" hidden="1" x14ac:dyDescent="0.3">
      <c r="A18" s="14"/>
      <c r="B18" s="24"/>
      <c r="C18" s="24"/>
      <c r="D18" s="43" t="s">
        <v>462</v>
      </c>
      <c r="E18" s="64"/>
      <c r="F18" s="71">
        <v>0</v>
      </c>
      <c r="G18" s="72">
        <v>185.02</v>
      </c>
      <c r="H18" s="72">
        <f t="shared" si="1"/>
        <v>185.02</v>
      </c>
      <c r="I18" s="154">
        <v>0</v>
      </c>
      <c r="J18" s="154">
        <f t="shared" si="2"/>
        <v>0</v>
      </c>
    </row>
    <row r="19" spans="1:10" hidden="1" x14ac:dyDescent="0.3">
      <c r="A19" s="14"/>
      <c r="B19" s="24"/>
      <c r="C19" s="24"/>
      <c r="D19" s="43" t="s">
        <v>463</v>
      </c>
      <c r="E19" s="64"/>
      <c r="F19" s="71">
        <v>0</v>
      </c>
      <c r="G19" s="72">
        <v>1858.12</v>
      </c>
      <c r="H19" s="72">
        <f t="shared" si="1"/>
        <v>1858.12</v>
      </c>
      <c r="I19" s="154">
        <v>0</v>
      </c>
      <c r="J19" s="154">
        <f t="shared" si="2"/>
        <v>0</v>
      </c>
    </row>
    <row r="20" spans="1:10" hidden="1" x14ac:dyDescent="0.3">
      <c r="A20" s="14"/>
      <c r="B20" s="24"/>
      <c r="C20" s="24"/>
      <c r="D20" s="43" t="s">
        <v>464</v>
      </c>
      <c r="E20" s="64"/>
      <c r="F20" s="71">
        <v>0</v>
      </c>
      <c r="G20" s="72">
        <v>265.45</v>
      </c>
      <c r="H20" s="72">
        <f t="shared" si="1"/>
        <v>265.45</v>
      </c>
      <c r="I20" s="154">
        <v>0</v>
      </c>
      <c r="J20" s="154">
        <f t="shared" si="2"/>
        <v>0</v>
      </c>
    </row>
    <row r="21" spans="1:10" x14ac:dyDescent="0.3">
      <c r="A21" s="14"/>
      <c r="B21" s="24"/>
      <c r="C21" s="24"/>
      <c r="D21" s="43"/>
      <c r="E21" s="64"/>
      <c r="F21" s="71">
        <v>0</v>
      </c>
      <c r="G21" s="72">
        <v>0</v>
      </c>
      <c r="H21" s="72">
        <f t="shared" si="1"/>
        <v>0</v>
      </c>
      <c r="I21" s="154">
        <v>0</v>
      </c>
      <c r="J21" s="154">
        <f t="shared" si="2"/>
        <v>0</v>
      </c>
    </row>
    <row r="22" spans="1:10" x14ac:dyDescent="0.3">
      <c r="A22" s="14"/>
      <c r="B22" s="24"/>
      <c r="C22" s="24"/>
      <c r="D22" s="55"/>
      <c r="E22" s="78">
        <v>1110000</v>
      </c>
      <c r="F22" s="71">
        <v>0</v>
      </c>
      <c r="G22" s="72">
        <v>0</v>
      </c>
      <c r="H22" s="72">
        <f t="shared" si="1"/>
        <v>0</v>
      </c>
      <c r="I22" s="154">
        <f>+F22</f>
        <v>0</v>
      </c>
      <c r="J22" s="154">
        <f t="shared" si="2"/>
        <v>0</v>
      </c>
    </row>
    <row r="23" spans="1:10" x14ac:dyDescent="0.3">
      <c r="A23" s="18"/>
      <c r="B23" s="18"/>
      <c r="C23" s="18"/>
      <c r="D23" s="18"/>
      <c r="E23" s="18"/>
      <c r="F23" s="131"/>
      <c r="G23" s="72"/>
      <c r="H23" s="72"/>
      <c r="I23" s="154"/>
      <c r="J23" s="154">
        <f t="shared" si="2"/>
        <v>0</v>
      </c>
    </row>
    <row r="24" spans="1:10" x14ac:dyDescent="0.3">
      <c r="A24" s="48"/>
      <c r="B24" s="48"/>
      <c r="C24" s="48"/>
      <c r="D24" s="49" t="s">
        <v>52</v>
      </c>
      <c r="E24" s="50">
        <f>SUM(E7:E22)</f>
        <v>3147000</v>
      </c>
      <c r="F24" s="98">
        <f>+SUM(F22,F7:F11)</f>
        <v>211679.03000000003</v>
      </c>
      <c r="G24" s="98">
        <f>+SUM(G22,G7:G11)</f>
        <v>259340.36000000004</v>
      </c>
      <c r="H24" s="98">
        <f>+SUM(H22,H7:H11)</f>
        <v>47661.330000000009</v>
      </c>
      <c r="I24" s="98">
        <f>+SUM(I22,I7:I11)</f>
        <v>251392.89</v>
      </c>
      <c r="J24" s="98">
        <f>+SUM(J22,J7:J11)</f>
        <v>39713.86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J9"/>
  <sheetViews>
    <sheetView zoomScaleNormal="100" workbookViewId="0">
      <selection activeCell="K13" sqref="K13"/>
    </sheetView>
  </sheetViews>
  <sheetFormatPr defaultColWidth="9.140625" defaultRowHeight="16.5" x14ac:dyDescent="0.3"/>
  <cols>
    <col min="1" max="1" width="11.7109375" style="2" customWidth="1"/>
    <col min="2" max="2" width="7" style="2" customWidth="1"/>
    <col min="3" max="3" width="11.85546875" style="2" bestFit="1" customWidth="1"/>
    <col min="4" max="4" width="69.5703125" style="2" customWidth="1"/>
    <col min="5" max="5" width="13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367</v>
      </c>
      <c r="B3" s="5"/>
      <c r="C3" s="6"/>
      <c r="D3" s="2" t="s">
        <v>368</v>
      </c>
      <c r="E3" s="165"/>
      <c r="F3" s="166"/>
    </row>
    <row r="4" spans="1:10" x14ac:dyDescent="0.3">
      <c r="A4" s="41"/>
    </row>
    <row r="6" spans="1:10" ht="5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27" x14ac:dyDescent="0.3">
      <c r="A7" s="43" t="s">
        <v>369</v>
      </c>
      <c r="B7" s="15"/>
      <c r="C7" s="15"/>
      <c r="D7" s="43" t="s">
        <v>443</v>
      </c>
      <c r="E7" s="64">
        <v>10000</v>
      </c>
      <c r="F7" s="75">
        <f>ROUND(E7/7.5345,2)</f>
        <v>1327.23</v>
      </c>
      <c r="G7" s="76">
        <v>0</v>
      </c>
      <c r="H7" s="76">
        <f>+G7-F7</f>
        <v>-1327.23</v>
      </c>
      <c r="I7" s="75">
        <f>+F7</f>
        <v>1327.23</v>
      </c>
      <c r="J7" s="75">
        <f>+I7-F7</f>
        <v>0</v>
      </c>
    </row>
    <row r="8" spans="1:10" x14ac:dyDescent="0.3">
      <c r="A8" s="18"/>
      <c r="B8" s="18"/>
      <c r="C8" s="18"/>
      <c r="D8" s="18"/>
      <c r="E8" s="18"/>
      <c r="F8" s="76"/>
      <c r="G8" s="76"/>
      <c r="H8" s="76"/>
      <c r="I8" s="76"/>
      <c r="J8" s="76"/>
    </row>
    <row r="9" spans="1:10" x14ac:dyDescent="0.3">
      <c r="A9" s="48"/>
      <c r="B9" s="48"/>
      <c r="C9" s="48"/>
      <c r="D9" s="49" t="s">
        <v>52</v>
      </c>
      <c r="E9" s="50">
        <f t="shared" ref="E9:J9" si="0">SUM(E7:E7)</f>
        <v>10000</v>
      </c>
      <c r="F9" s="77">
        <f t="shared" si="0"/>
        <v>1327.23</v>
      </c>
      <c r="G9" s="77">
        <f t="shared" si="0"/>
        <v>0</v>
      </c>
      <c r="H9" s="77">
        <f t="shared" si="0"/>
        <v>-1327.23</v>
      </c>
      <c r="I9" s="77">
        <f t="shared" si="0"/>
        <v>1327.23</v>
      </c>
      <c r="J9" s="77">
        <f t="shared" si="0"/>
        <v>0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J10"/>
  <sheetViews>
    <sheetView zoomScale="115" zoomScaleNormal="115" workbookViewId="0">
      <selection activeCell="I15" sqref="I15"/>
    </sheetView>
  </sheetViews>
  <sheetFormatPr defaultColWidth="9.140625" defaultRowHeight="16.5" x14ac:dyDescent="0.3"/>
  <cols>
    <col min="1" max="1" width="11.140625" style="2" customWidth="1"/>
    <col min="2" max="2" width="7.28515625" style="2" customWidth="1"/>
    <col min="3" max="3" width="8.5703125" style="2" customWidth="1"/>
    <col min="4" max="4" width="76.42578125" style="2" customWidth="1"/>
    <col min="5" max="5" width="4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I1" s="159" t="s">
        <v>450</v>
      </c>
      <c r="J1" s="160"/>
    </row>
    <row r="2" spans="1:10" x14ac:dyDescent="0.3">
      <c r="A2" s="1"/>
      <c r="D2" s="3"/>
      <c r="E2" s="4"/>
    </row>
    <row r="3" spans="1:10" ht="40.5" customHeight="1" x14ac:dyDescent="0.3">
      <c r="A3" s="5" t="s">
        <v>382</v>
      </c>
      <c r="B3" s="5"/>
      <c r="C3" s="6"/>
      <c r="D3" s="132" t="s">
        <v>383</v>
      </c>
      <c r="E3" s="165"/>
      <c r="F3" s="166"/>
    </row>
    <row r="4" spans="1:10" ht="29.25" customHeight="1" x14ac:dyDescent="0.3">
      <c r="A4" s="41"/>
    </row>
    <row r="6" spans="1:10" ht="36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99"/>
      <c r="B7" s="15"/>
      <c r="C7" s="15"/>
      <c r="D7" s="80" t="s">
        <v>385</v>
      </c>
      <c r="E7" s="70">
        <v>561000</v>
      </c>
      <c r="F7" s="133">
        <f>ROUND(E7/7.5345,2)</f>
        <v>74457.5</v>
      </c>
      <c r="G7" s="134">
        <v>0</v>
      </c>
      <c r="H7" s="134">
        <f>+G7-F7</f>
        <v>-74457.5</v>
      </c>
      <c r="I7" s="155">
        <f>+F7-15363</f>
        <v>59094.5</v>
      </c>
      <c r="J7" s="155">
        <f>+I7-F7</f>
        <v>-15363</v>
      </c>
    </row>
    <row r="8" spans="1:10" ht="15" customHeight="1" x14ac:dyDescent="0.3">
      <c r="A8" s="99" t="s">
        <v>384</v>
      </c>
      <c r="B8" s="15"/>
      <c r="C8" s="15"/>
      <c r="D8" s="80" t="s">
        <v>386</v>
      </c>
      <c r="E8" s="70">
        <v>46000</v>
      </c>
      <c r="F8" s="133">
        <f>ROUND(E8/7.5345,2)</f>
        <v>6105.25</v>
      </c>
      <c r="G8" s="134">
        <v>6105.25</v>
      </c>
      <c r="H8" s="134">
        <f>+G8-F8</f>
        <v>0</v>
      </c>
      <c r="I8" s="155">
        <f>+F8</f>
        <v>6105.25</v>
      </c>
      <c r="J8" s="155">
        <f>+I8-F8</f>
        <v>0</v>
      </c>
    </row>
    <row r="9" spans="1:10" x14ac:dyDescent="0.3">
      <c r="A9" s="18"/>
      <c r="B9" s="18"/>
      <c r="C9" s="18"/>
      <c r="D9" s="18"/>
      <c r="E9" s="18"/>
      <c r="F9" s="134"/>
      <c r="G9" s="134"/>
      <c r="H9" s="134"/>
      <c r="I9" s="155"/>
      <c r="J9" s="155"/>
    </row>
    <row r="10" spans="1:10" x14ac:dyDescent="0.3">
      <c r="A10" s="48"/>
      <c r="B10" s="48"/>
      <c r="C10" s="48"/>
      <c r="D10" s="49" t="s">
        <v>52</v>
      </c>
      <c r="E10" s="50">
        <f t="shared" ref="E10:J10" si="0">SUM(E7:E8)</f>
        <v>607000</v>
      </c>
      <c r="F10" s="135">
        <f t="shared" si="0"/>
        <v>80562.75</v>
      </c>
      <c r="G10" s="135">
        <f t="shared" si="0"/>
        <v>6105.25</v>
      </c>
      <c r="H10" s="135">
        <f t="shared" si="0"/>
        <v>-74457.5</v>
      </c>
      <c r="I10" s="135">
        <f t="shared" si="0"/>
        <v>65199.75</v>
      </c>
      <c r="J10" s="135">
        <f t="shared" si="0"/>
        <v>-15363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1"/>
  <sheetViews>
    <sheetView zoomScale="130" zoomScaleNormal="130" workbookViewId="0">
      <selection activeCell="K10" sqref="K10"/>
    </sheetView>
  </sheetViews>
  <sheetFormatPr defaultColWidth="9.140625" defaultRowHeight="16.5" x14ac:dyDescent="0.3"/>
  <cols>
    <col min="1" max="1" width="11.5703125" style="2" customWidth="1"/>
    <col min="2" max="2" width="7.28515625" style="2" customWidth="1"/>
    <col min="3" max="3" width="6.5703125" style="2" customWidth="1"/>
    <col min="4" max="4" width="66.7109375" style="2" customWidth="1"/>
    <col min="5" max="5" width="14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1" width="112.28515625" style="2" bestFit="1" customWidth="1"/>
    <col min="12" max="12" width="13.85546875" style="2" customWidth="1"/>
    <col min="13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53</v>
      </c>
      <c r="B3" s="5"/>
      <c r="C3" s="6"/>
      <c r="D3" s="42" t="s">
        <v>54</v>
      </c>
      <c r="E3" s="163"/>
      <c r="F3" s="164"/>
      <c r="G3" s="42"/>
      <c r="H3" s="42"/>
      <c r="I3" s="42"/>
      <c r="J3" s="42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14" t="s">
        <v>55</v>
      </c>
      <c r="B7" s="15" t="s">
        <v>50</v>
      </c>
      <c r="C7" s="15" t="s">
        <v>63</v>
      </c>
      <c r="D7" s="43" t="s">
        <v>59</v>
      </c>
      <c r="E7" s="44">
        <v>110000</v>
      </c>
      <c r="F7" s="35">
        <f>ROUND(E7/7.5345,2)</f>
        <v>14599.51</v>
      </c>
      <c r="G7" s="36">
        <v>14599.51</v>
      </c>
      <c r="H7" s="38">
        <v>0</v>
      </c>
      <c r="I7" s="35">
        <v>12000</v>
      </c>
      <c r="J7" s="35">
        <f>+I7-F7</f>
        <v>-2599.5100000000002</v>
      </c>
    </row>
    <row r="8" spans="1:10" ht="15" customHeight="1" x14ac:dyDescent="0.3">
      <c r="A8" s="14" t="s">
        <v>56</v>
      </c>
      <c r="B8" s="15" t="s">
        <v>50</v>
      </c>
      <c r="C8" s="15" t="s">
        <v>63</v>
      </c>
      <c r="D8" s="43" t="s">
        <v>60</v>
      </c>
      <c r="E8" s="45">
        <v>7200000</v>
      </c>
      <c r="F8" s="35">
        <f>ROUND(E8/7.5345,2)</f>
        <v>955604.22</v>
      </c>
      <c r="G8" s="36">
        <v>955604.22</v>
      </c>
      <c r="H8" s="38">
        <v>0</v>
      </c>
      <c r="I8" s="35">
        <v>4600000</v>
      </c>
      <c r="J8" s="35">
        <f t="shared" ref="J8:J10" si="0">+I8-F8</f>
        <v>3644395.7800000003</v>
      </c>
    </row>
    <row r="9" spans="1:10" ht="15" customHeight="1" x14ac:dyDescent="0.3">
      <c r="A9" s="14" t="s">
        <v>57</v>
      </c>
      <c r="B9" s="46" t="s">
        <v>50</v>
      </c>
      <c r="C9" s="46" t="s">
        <v>63</v>
      </c>
      <c r="D9" s="43" t="s">
        <v>61</v>
      </c>
      <c r="E9" s="45">
        <v>70000</v>
      </c>
      <c r="F9" s="35">
        <f>ROUND(E9/7.5345,2)</f>
        <v>9290.6</v>
      </c>
      <c r="G9" s="36">
        <v>9290.6</v>
      </c>
      <c r="H9" s="38">
        <v>0</v>
      </c>
      <c r="I9" s="35">
        <v>7800</v>
      </c>
      <c r="J9" s="35">
        <f t="shared" si="0"/>
        <v>-1490.6000000000004</v>
      </c>
    </row>
    <row r="10" spans="1:10" ht="15" customHeight="1" x14ac:dyDescent="0.3">
      <c r="A10" s="47" t="s">
        <v>58</v>
      </c>
      <c r="B10" s="46" t="s">
        <v>50</v>
      </c>
      <c r="C10" s="46" t="s">
        <v>63</v>
      </c>
      <c r="D10" s="43" t="s">
        <v>62</v>
      </c>
      <c r="E10" s="45">
        <v>7200000</v>
      </c>
      <c r="F10" s="35">
        <f>ROUND(E10/7.5345,2)</f>
        <v>955604.22</v>
      </c>
      <c r="G10" s="36">
        <v>955604.22</v>
      </c>
      <c r="H10" s="38">
        <v>0</v>
      </c>
      <c r="I10" s="35">
        <v>1800000</v>
      </c>
      <c r="J10" s="35">
        <f t="shared" si="0"/>
        <v>844395.78</v>
      </c>
    </row>
    <row r="11" spans="1:10" x14ac:dyDescent="0.3">
      <c r="A11" s="48"/>
      <c r="B11" s="48"/>
      <c r="C11" s="48"/>
      <c r="D11" s="49" t="s">
        <v>52</v>
      </c>
      <c r="E11" s="50">
        <f>SUM(E7:E10)</f>
        <v>14580000</v>
      </c>
      <c r="F11" s="51">
        <f>SUM(F7:F10)</f>
        <v>1935098.5499999998</v>
      </c>
      <c r="G11" s="51">
        <f>SUM(G7:G10)</f>
        <v>1935098.5499999998</v>
      </c>
      <c r="H11" s="52">
        <v>0</v>
      </c>
      <c r="I11" s="51">
        <f>SUM(I7:I10)</f>
        <v>6419800</v>
      </c>
      <c r="J11" s="52">
        <f>SUM(J7:J10)</f>
        <v>4484701.45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J20"/>
  <sheetViews>
    <sheetView zoomScaleNormal="100" workbookViewId="0">
      <selection activeCell="L23" sqref="L23"/>
    </sheetView>
  </sheetViews>
  <sheetFormatPr defaultColWidth="9.140625" defaultRowHeight="16.5" x14ac:dyDescent="0.3"/>
  <cols>
    <col min="1" max="1" width="11.28515625" style="2" customWidth="1"/>
    <col min="2" max="2" width="7.140625" style="2" customWidth="1"/>
    <col min="3" max="3" width="7.140625" style="2" bestFit="1" customWidth="1"/>
    <col min="4" max="4" width="66.7109375" style="2" customWidth="1"/>
    <col min="5" max="5" width="14.425781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1" width="9.140625" style="2"/>
    <col min="12" max="12" width="15.28515625" style="2" customWidth="1"/>
    <col min="13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393</v>
      </c>
      <c r="B3" s="5"/>
      <c r="C3" s="6"/>
      <c r="D3" s="2" t="s">
        <v>474</v>
      </c>
      <c r="E3" s="172"/>
      <c r="F3" s="166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27" x14ac:dyDescent="0.3">
      <c r="A7" s="14" t="s">
        <v>387</v>
      </c>
      <c r="B7" s="24" t="s">
        <v>51</v>
      </c>
      <c r="C7" s="24" t="s">
        <v>48</v>
      </c>
      <c r="D7" s="43" t="s">
        <v>390</v>
      </c>
      <c r="E7" s="136">
        <v>1700</v>
      </c>
      <c r="F7" s="75">
        <f t="shared" ref="F7:F10" si="0">ROUND(E7/7.5345,2)</f>
        <v>225.63</v>
      </c>
      <c r="G7" s="76">
        <v>225.63</v>
      </c>
      <c r="H7" s="76">
        <f>+G7-F7</f>
        <v>0</v>
      </c>
      <c r="I7" s="104">
        <v>225.63</v>
      </c>
      <c r="J7" s="104">
        <f>+I7-F7</f>
        <v>0</v>
      </c>
    </row>
    <row r="8" spans="1:10" x14ac:dyDescent="0.3">
      <c r="A8" s="14" t="s">
        <v>388</v>
      </c>
      <c r="B8" s="24" t="s">
        <v>51</v>
      </c>
      <c r="C8" s="24" t="s">
        <v>63</v>
      </c>
      <c r="D8" s="43" t="s">
        <v>391</v>
      </c>
      <c r="E8" s="137">
        <v>7200</v>
      </c>
      <c r="F8" s="75">
        <f>ROUND(E8/7.5345,2)+5</f>
        <v>960.6</v>
      </c>
      <c r="G8" s="76">
        <v>755.6</v>
      </c>
      <c r="H8" s="76">
        <f t="shared" ref="H8:H11" si="1">+G8-F8</f>
        <v>-205</v>
      </c>
      <c r="I8" s="104">
        <f>+SUM(F17:F20)+1000</f>
        <v>5000</v>
      </c>
      <c r="J8" s="104">
        <f t="shared" ref="J8:J11" si="2">+I8-F8</f>
        <v>4039.4</v>
      </c>
    </row>
    <row r="9" spans="1:10" x14ac:dyDescent="0.3">
      <c r="A9" s="14" t="s">
        <v>389</v>
      </c>
      <c r="B9" s="24" t="s">
        <v>51</v>
      </c>
      <c r="C9" s="24" t="s">
        <v>48</v>
      </c>
      <c r="D9" s="43" t="s">
        <v>392</v>
      </c>
      <c r="E9" s="137">
        <v>1500</v>
      </c>
      <c r="F9" s="75">
        <f t="shared" si="0"/>
        <v>199.08</v>
      </c>
      <c r="G9" s="76">
        <v>199.08</v>
      </c>
      <c r="H9" s="76">
        <f t="shared" si="1"/>
        <v>0</v>
      </c>
      <c r="I9" s="104">
        <v>0</v>
      </c>
      <c r="J9" s="104">
        <f t="shared" si="2"/>
        <v>-199.08</v>
      </c>
    </row>
    <row r="10" spans="1:10" x14ac:dyDescent="0.3">
      <c r="A10" s="19" t="s">
        <v>424</v>
      </c>
      <c r="B10" s="87" t="s">
        <v>51</v>
      </c>
      <c r="C10" s="87" t="s">
        <v>48</v>
      </c>
      <c r="D10" s="138" t="s">
        <v>425</v>
      </c>
      <c r="E10" s="68">
        <v>2300</v>
      </c>
      <c r="F10" s="75">
        <f t="shared" si="0"/>
        <v>305.26</v>
      </c>
      <c r="G10" s="76">
        <v>606.26</v>
      </c>
      <c r="H10" s="76">
        <f t="shared" si="1"/>
        <v>301</v>
      </c>
      <c r="I10" s="104">
        <v>305.26</v>
      </c>
      <c r="J10" s="104">
        <f t="shared" si="2"/>
        <v>0</v>
      </c>
    </row>
    <row r="11" spans="1:10" x14ac:dyDescent="0.3">
      <c r="A11" s="139" t="s">
        <v>453</v>
      </c>
      <c r="B11" s="87" t="s">
        <v>51</v>
      </c>
      <c r="C11" s="87" t="s">
        <v>48</v>
      </c>
      <c r="D11" s="140" t="s">
        <v>452</v>
      </c>
      <c r="E11" s="59">
        <v>2300</v>
      </c>
      <c r="F11" s="92">
        <v>300</v>
      </c>
      <c r="G11" s="76">
        <v>300</v>
      </c>
      <c r="H11" s="76">
        <f t="shared" si="1"/>
        <v>0</v>
      </c>
      <c r="I11" s="104">
        <v>300</v>
      </c>
      <c r="J11" s="104">
        <f t="shared" si="2"/>
        <v>0</v>
      </c>
    </row>
    <row r="12" spans="1:10" x14ac:dyDescent="0.3">
      <c r="A12" s="18"/>
      <c r="B12" s="18"/>
      <c r="C12" s="18"/>
      <c r="D12" s="18"/>
      <c r="E12" s="18"/>
      <c r="F12" s="76"/>
      <c r="G12" s="76"/>
      <c r="H12" s="76"/>
      <c r="I12" s="104"/>
      <c r="J12" s="104"/>
    </row>
    <row r="13" spans="1:10" x14ac:dyDescent="0.3">
      <c r="A13" s="48"/>
      <c r="B13" s="48"/>
      <c r="C13" s="48"/>
      <c r="D13" s="49" t="s">
        <v>52</v>
      </c>
      <c r="E13" s="50">
        <f t="shared" ref="E13:J13" si="3">SUM(E7:E11)</f>
        <v>15000</v>
      </c>
      <c r="F13" s="77">
        <f t="shared" si="3"/>
        <v>1990.57</v>
      </c>
      <c r="G13" s="77">
        <f t="shared" si="3"/>
        <v>2086.5699999999997</v>
      </c>
      <c r="H13" s="77">
        <f t="shared" si="3"/>
        <v>96</v>
      </c>
      <c r="I13" s="77">
        <f t="shared" si="3"/>
        <v>5830.89</v>
      </c>
      <c r="J13" s="77">
        <f t="shared" si="3"/>
        <v>3840.32</v>
      </c>
    </row>
    <row r="17" spans="4:6" x14ac:dyDescent="0.3">
      <c r="D17" s="2" t="s">
        <v>485</v>
      </c>
      <c r="F17" s="2">
        <v>500</v>
      </c>
    </row>
    <row r="18" spans="4:6" x14ac:dyDescent="0.3">
      <c r="D18" s="2" t="s">
        <v>486</v>
      </c>
      <c r="F18" s="2">
        <v>500</v>
      </c>
    </row>
    <row r="19" spans="4:6" x14ac:dyDescent="0.3">
      <c r="D19" s="2" t="s">
        <v>487</v>
      </c>
      <c r="F19" s="2">
        <v>1500</v>
      </c>
    </row>
    <row r="20" spans="4:6" x14ac:dyDescent="0.3">
      <c r="D20" s="2" t="s">
        <v>488</v>
      </c>
      <c r="F20" s="2">
        <v>1500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J9"/>
  <sheetViews>
    <sheetView zoomScaleNormal="100" workbookViewId="0">
      <selection activeCell="M22" sqref="M22"/>
    </sheetView>
  </sheetViews>
  <sheetFormatPr defaultColWidth="9.140625" defaultRowHeight="16.5" x14ac:dyDescent="0.3"/>
  <cols>
    <col min="1" max="1" width="13" style="2" customWidth="1"/>
    <col min="2" max="2" width="8.140625" style="2" customWidth="1"/>
    <col min="3" max="3" width="7.140625" style="2" bestFit="1" customWidth="1"/>
    <col min="4" max="4" width="38.140625" style="2" customWidth="1"/>
    <col min="5" max="5" width="15.140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421</v>
      </c>
      <c r="B3" s="5"/>
      <c r="C3" s="6"/>
      <c r="D3" s="2" t="s">
        <v>420</v>
      </c>
      <c r="E3" s="165"/>
      <c r="F3" s="166"/>
    </row>
    <row r="4" spans="1:10" x14ac:dyDescent="0.3">
      <c r="A4" s="41"/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x14ac:dyDescent="0.3">
      <c r="A7" s="61"/>
      <c r="B7" s="24" t="s">
        <v>51</v>
      </c>
      <c r="C7" s="24" t="s">
        <v>48</v>
      </c>
      <c r="D7" s="62" t="s">
        <v>442</v>
      </c>
      <c r="E7" s="68">
        <v>1671000</v>
      </c>
      <c r="F7" s="151">
        <f>ROUND(E7/7.5345,2)</f>
        <v>221779.81</v>
      </c>
      <c r="G7" s="76">
        <v>17000</v>
      </c>
      <c r="H7" s="76">
        <f>+F7-G7</f>
        <v>204779.81</v>
      </c>
      <c r="I7" s="104">
        <v>331550</v>
      </c>
      <c r="J7" s="104">
        <f>+I7-F7</f>
        <v>109770.19</v>
      </c>
    </row>
    <row r="8" spans="1:10" x14ac:dyDescent="0.3">
      <c r="A8" s="18"/>
      <c r="B8" s="18"/>
      <c r="C8" s="18"/>
      <c r="D8" s="18"/>
      <c r="E8" s="18"/>
      <c r="F8" s="76"/>
      <c r="G8" s="76"/>
      <c r="H8" s="76"/>
      <c r="I8" s="76"/>
      <c r="J8" s="76"/>
    </row>
    <row r="9" spans="1:10" x14ac:dyDescent="0.3">
      <c r="A9" s="48"/>
      <c r="B9" s="48"/>
      <c r="C9" s="48"/>
      <c r="D9" s="49" t="s">
        <v>52</v>
      </c>
      <c r="E9" s="50">
        <f t="shared" ref="E9:J9" si="0">SUM(E7:E7)</f>
        <v>1671000</v>
      </c>
      <c r="F9" s="77">
        <f t="shared" si="0"/>
        <v>221779.81</v>
      </c>
      <c r="G9" s="77">
        <f t="shared" si="0"/>
        <v>17000</v>
      </c>
      <c r="H9" s="77">
        <f t="shared" si="0"/>
        <v>204779.81</v>
      </c>
      <c r="I9" s="77">
        <f t="shared" si="0"/>
        <v>331550</v>
      </c>
      <c r="J9" s="77">
        <f t="shared" si="0"/>
        <v>109770.19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J9"/>
  <sheetViews>
    <sheetView zoomScaleNormal="100" workbookViewId="0">
      <selection activeCell="D19" sqref="D19"/>
    </sheetView>
  </sheetViews>
  <sheetFormatPr defaultColWidth="9.140625" defaultRowHeight="15.75" x14ac:dyDescent="0.25"/>
  <cols>
    <col min="1" max="1" width="11.85546875" style="105" customWidth="1"/>
    <col min="2" max="2" width="7.140625" style="105" customWidth="1"/>
    <col min="3" max="3" width="8.7109375" style="105" bestFit="1" customWidth="1"/>
    <col min="4" max="4" width="66.7109375" style="105" customWidth="1"/>
    <col min="5" max="5" width="13.42578125" style="105" hidden="1" customWidth="1"/>
    <col min="6" max="6" width="9.28515625" style="105" customWidth="1"/>
    <col min="7" max="8" width="9.28515625" style="105" hidden="1" customWidth="1"/>
    <col min="9" max="10" width="9.28515625" style="105" customWidth="1"/>
    <col min="11" max="16384" width="9.140625" style="105"/>
  </cols>
  <sheetData>
    <row r="1" spans="1:10" x14ac:dyDescent="0.25">
      <c r="A1" s="157" t="s">
        <v>468</v>
      </c>
      <c r="B1" s="169"/>
      <c r="C1" s="169"/>
      <c r="D1" s="169"/>
      <c r="E1" s="169"/>
      <c r="G1" s="40">
        <v>2023</v>
      </c>
      <c r="I1" s="159"/>
      <c r="J1" s="159"/>
    </row>
    <row r="2" spans="1:10" x14ac:dyDescent="0.25">
      <c r="A2" s="1"/>
      <c r="D2" s="106"/>
      <c r="E2" s="107"/>
    </row>
    <row r="3" spans="1:10" ht="15" customHeight="1" x14ac:dyDescent="0.25">
      <c r="A3" s="108" t="s">
        <v>396</v>
      </c>
      <c r="B3" s="108"/>
      <c r="C3" s="109"/>
      <c r="D3" s="105" t="s">
        <v>397</v>
      </c>
      <c r="E3" s="170"/>
      <c r="F3" s="171"/>
    </row>
    <row r="4" spans="1:10" x14ac:dyDescent="0.25">
      <c r="A4" s="40"/>
    </row>
    <row r="6" spans="1:10" ht="39" customHeight="1" x14ac:dyDescent="0.25">
      <c r="A6" s="110" t="s">
        <v>0</v>
      </c>
      <c r="B6" s="111" t="s">
        <v>1</v>
      </c>
      <c r="C6" s="111" t="s">
        <v>2</v>
      </c>
      <c r="D6" s="110" t="s">
        <v>3</v>
      </c>
      <c r="E6" s="111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25">
      <c r="A7" s="123" t="s">
        <v>394</v>
      </c>
      <c r="B7" s="141" t="s">
        <v>51</v>
      </c>
      <c r="C7" s="141" t="s">
        <v>48</v>
      </c>
      <c r="D7" s="122" t="s">
        <v>395</v>
      </c>
      <c r="E7" s="142">
        <v>26000</v>
      </c>
      <c r="F7" s="151">
        <f>ROUND(E7/7.5345,2)</f>
        <v>3450.79</v>
      </c>
      <c r="G7" s="129">
        <v>3450.79</v>
      </c>
      <c r="H7" s="129">
        <f>+G7-F7</f>
        <v>0</v>
      </c>
      <c r="I7" s="104">
        <v>20000</v>
      </c>
      <c r="J7" s="104">
        <f>+I7-F7</f>
        <v>16549.21</v>
      </c>
    </row>
    <row r="8" spans="1:10" x14ac:dyDescent="0.25">
      <c r="A8" s="112"/>
      <c r="B8" s="112"/>
      <c r="C8" s="112"/>
      <c r="D8" s="112"/>
      <c r="E8" s="112"/>
      <c r="F8" s="129"/>
      <c r="G8" s="129"/>
      <c r="H8" s="129"/>
      <c r="I8" s="129"/>
      <c r="J8" s="129"/>
    </row>
    <row r="9" spans="1:10" x14ac:dyDescent="0.25">
      <c r="A9" s="126"/>
      <c r="B9" s="126"/>
      <c r="C9" s="126"/>
      <c r="D9" s="127" t="s">
        <v>52</v>
      </c>
      <c r="E9" s="128">
        <f>SUM(E7:E7)</f>
        <v>26000</v>
      </c>
      <c r="F9" s="130">
        <f>SUM(F7:F7)</f>
        <v>3450.79</v>
      </c>
      <c r="G9" s="130">
        <f>SUM(G7:G7)</f>
        <v>3450.79</v>
      </c>
      <c r="H9" s="130">
        <f>SUM(H7:H7)</f>
        <v>0</v>
      </c>
      <c r="I9" s="130">
        <f>SUM(I7:I7)</f>
        <v>20000</v>
      </c>
      <c r="J9" s="130">
        <f>SUM(J7:J7)</f>
        <v>16549.21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J10"/>
  <sheetViews>
    <sheetView zoomScaleNormal="100" workbookViewId="0">
      <selection activeCell="J26" sqref="J26"/>
    </sheetView>
  </sheetViews>
  <sheetFormatPr defaultColWidth="9.140625" defaultRowHeight="16.5" x14ac:dyDescent="0.3"/>
  <cols>
    <col min="1" max="1" width="15.85546875" style="2" bestFit="1" customWidth="1"/>
    <col min="2" max="2" width="8.28515625" style="2" customWidth="1"/>
    <col min="3" max="3" width="7.140625" style="2" bestFit="1" customWidth="1"/>
    <col min="4" max="4" width="66.7109375" style="2" customWidth="1"/>
    <col min="5" max="5" width="14.425781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1" width="32.140625" style="2" customWidth="1"/>
    <col min="12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438</v>
      </c>
      <c r="B3" s="5"/>
      <c r="C3" s="6"/>
      <c r="D3" s="2" t="s">
        <v>427</v>
      </c>
      <c r="E3" s="165"/>
      <c r="F3" s="166"/>
    </row>
    <row r="4" spans="1:10" x14ac:dyDescent="0.3">
      <c r="A4" s="41"/>
    </row>
    <row r="6" spans="1:10" ht="38.25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451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61" t="s">
        <v>428</v>
      </c>
      <c r="B7" s="24" t="s">
        <v>51</v>
      </c>
      <c r="C7" s="24" t="s">
        <v>48</v>
      </c>
      <c r="D7" s="80" t="s">
        <v>427</v>
      </c>
      <c r="E7" s="64">
        <v>48000</v>
      </c>
      <c r="F7" s="143">
        <f>ROUND(E7/7.5345,2)</f>
        <v>6370.69</v>
      </c>
      <c r="G7" s="156">
        <v>6370.69</v>
      </c>
      <c r="H7" s="156">
        <f>+G7-F7</f>
        <v>0</v>
      </c>
      <c r="I7" s="156">
        <f>+F7</f>
        <v>6370.69</v>
      </c>
      <c r="J7" s="156">
        <f>+F7-I7</f>
        <v>0</v>
      </c>
    </row>
    <row r="8" spans="1:10" ht="15" customHeight="1" x14ac:dyDescent="0.3">
      <c r="A8" s="14" t="s">
        <v>201</v>
      </c>
      <c r="B8" s="24" t="s">
        <v>51</v>
      </c>
      <c r="C8" s="24" t="s">
        <v>48</v>
      </c>
      <c r="D8" s="16" t="s">
        <v>484</v>
      </c>
      <c r="E8" s="44">
        <v>45000</v>
      </c>
      <c r="F8" s="143">
        <f>ROUND(E8/7.5345,2)</f>
        <v>5972.53</v>
      </c>
      <c r="G8" s="156">
        <v>5972.53</v>
      </c>
      <c r="H8" s="156">
        <f>+G8-F8</f>
        <v>0</v>
      </c>
      <c r="I8" s="156">
        <v>4100</v>
      </c>
      <c r="J8" s="156">
        <f>+F8-I8</f>
        <v>1872.5299999999997</v>
      </c>
    </row>
    <row r="9" spans="1:10" ht="15" customHeight="1" x14ac:dyDescent="0.3">
      <c r="A9" s="18"/>
      <c r="B9" s="18"/>
      <c r="C9" s="18"/>
      <c r="D9" s="18"/>
      <c r="E9" s="18"/>
      <c r="F9" s="156"/>
      <c r="G9" s="156"/>
      <c r="H9" s="156"/>
      <c r="I9" s="156"/>
      <c r="J9" s="156"/>
    </row>
    <row r="10" spans="1:10" x14ac:dyDescent="0.3">
      <c r="A10" s="48"/>
      <c r="B10" s="48"/>
      <c r="C10" s="48"/>
      <c r="D10" s="49" t="s">
        <v>52</v>
      </c>
      <c r="E10" s="50">
        <f t="shared" ref="E10:J10" si="0">SUM(E7:E8)</f>
        <v>93000</v>
      </c>
      <c r="F10" s="144">
        <f t="shared" si="0"/>
        <v>12343.22</v>
      </c>
      <c r="G10" s="144">
        <f t="shared" si="0"/>
        <v>12343.22</v>
      </c>
      <c r="H10" s="144">
        <f t="shared" si="0"/>
        <v>0</v>
      </c>
      <c r="I10" s="144">
        <f t="shared" si="0"/>
        <v>10470.689999999999</v>
      </c>
      <c r="J10" s="144">
        <f t="shared" si="0"/>
        <v>1872.5299999999997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J10"/>
  <sheetViews>
    <sheetView zoomScaleNormal="100" workbookViewId="0">
      <selection activeCell="J9" sqref="F7:J9"/>
    </sheetView>
  </sheetViews>
  <sheetFormatPr defaultColWidth="9.140625" defaultRowHeight="16.5" x14ac:dyDescent="0.3"/>
  <cols>
    <col min="1" max="1" width="11.42578125" style="2" customWidth="1"/>
    <col min="2" max="2" width="7.28515625" style="2" customWidth="1"/>
    <col min="3" max="3" width="7.140625" style="2" bestFit="1" customWidth="1"/>
    <col min="4" max="4" width="66.7109375" style="2" customWidth="1"/>
    <col min="5" max="5" width="14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1" width="40.7109375" style="2" customWidth="1"/>
    <col min="12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402</v>
      </c>
      <c r="B3" s="5"/>
      <c r="C3" s="6"/>
      <c r="D3" s="2" t="s">
        <v>403</v>
      </c>
      <c r="E3" s="165"/>
      <c r="F3" s="166"/>
    </row>
    <row r="4" spans="1:10" x14ac:dyDescent="0.3">
      <c r="A4" s="41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451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80" t="s">
        <v>398</v>
      </c>
      <c r="B7" s="15" t="s">
        <v>51</v>
      </c>
      <c r="C7" s="15" t="s">
        <v>48</v>
      </c>
      <c r="D7" s="80" t="s">
        <v>400</v>
      </c>
      <c r="E7" s="64">
        <v>20000</v>
      </c>
      <c r="F7" s="75">
        <f>ROUND(E7/7.5345,2)</f>
        <v>2654.46</v>
      </c>
      <c r="G7" s="104">
        <v>2654.46</v>
      </c>
      <c r="H7" s="104">
        <f>+G7-F7</f>
        <v>0</v>
      </c>
      <c r="I7" s="104">
        <f>1400+875</f>
        <v>2275</v>
      </c>
      <c r="J7" s="104">
        <f>+I7-F7</f>
        <v>-379.46000000000004</v>
      </c>
    </row>
    <row r="8" spans="1:10" ht="15" customHeight="1" x14ac:dyDescent="0.3">
      <c r="A8" s="80" t="s">
        <v>399</v>
      </c>
      <c r="B8" s="15"/>
      <c r="C8" s="15"/>
      <c r="D8" s="145" t="s">
        <v>401</v>
      </c>
      <c r="E8" s="81">
        <v>13000</v>
      </c>
      <c r="F8" s="75">
        <f>ROUND(E8/7.5345,2)</f>
        <v>1725.4</v>
      </c>
      <c r="G8" s="104">
        <v>0</v>
      </c>
      <c r="H8" s="104">
        <f t="shared" ref="H8" si="0">+G8-F8</f>
        <v>-1725.4</v>
      </c>
      <c r="I8" s="104">
        <f>+F8</f>
        <v>1725.4</v>
      </c>
      <c r="J8" s="104">
        <v>0</v>
      </c>
    </row>
    <row r="9" spans="1:10" x14ac:dyDescent="0.3">
      <c r="A9" s="18"/>
      <c r="B9" s="18"/>
      <c r="C9" s="18"/>
      <c r="D9" s="18"/>
      <c r="E9" s="18"/>
      <c r="F9" s="104"/>
      <c r="G9" s="104"/>
      <c r="H9" s="104"/>
      <c r="I9" s="104"/>
      <c r="J9" s="104"/>
    </row>
    <row r="10" spans="1:10" x14ac:dyDescent="0.3">
      <c r="A10" s="48"/>
      <c r="B10" s="48"/>
      <c r="C10" s="48"/>
      <c r="D10" s="49" t="s">
        <v>52</v>
      </c>
      <c r="E10" s="50">
        <f t="shared" ref="E10:J10" si="1">SUM(E7:E8)</f>
        <v>33000</v>
      </c>
      <c r="F10" s="77">
        <f t="shared" si="1"/>
        <v>4379.8600000000006</v>
      </c>
      <c r="G10" s="77">
        <f t="shared" si="1"/>
        <v>2654.46</v>
      </c>
      <c r="H10" s="77">
        <f t="shared" si="1"/>
        <v>-1725.4</v>
      </c>
      <c r="I10" s="77">
        <f t="shared" si="1"/>
        <v>4000.4</v>
      </c>
      <c r="J10" s="77">
        <f t="shared" si="1"/>
        <v>-379.46000000000004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J12"/>
  <sheetViews>
    <sheetView zoomScaleNormal="100" workbookViewId="0">
      <selection activeCell="J25" sqref="J25"/>
    </sheetView>
  </sheetViews>
  <sheetFormatPr defaultColWidth="9.140625" defaultRowHeight="16.5" x14ac:dyDescent="0.3"/>
  <cols>
    <col min="1" max="1" width="11.28515625" style="2" customWidth="1"/>
    <col min="2" max="2" width="7" style="2" customWidth="1"/>
    <col min="3" max="3" width="11.85546875" style="2" bestFit="1" customWidth="1"/>
    <col min="4" max="4" width="66.7109375" style="2" customWidth="1"/>
    <col min="5" max="5" width="9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1" width="9.140625" style="2"/>
    <col min="12" max="12" width="16.28515625" style="2" customWidth="1"/>
    <col min="13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  <c r="I1" s="159"/>
      <c r="J1" s="160"/>
    </row>
    <row r="2" spans="1:10" x14ac:dyDescent="0.3">
      <c r="A2" s="1"/>
      <c r="D2" s="3"/>
      <c r="E2" s="4"/>
    </row>
    <row r="3" spans="1:10" ht="15" customHeight="1" x14ac:dyDescent="0.3">
      <c r="A3" s="5" t="s">
        <v>412</v>
      </c>
      <c r="B3" s="5"/>
      <c r="C3" s="6"/>
      <c r="D3" s="2" t="s">
        <v>411</v>
      </c>
      <c r="E3" s="165"/>
      <c r="F3" s="165"/>
    </row>
    <row r="4" spans="1:10" x14ac:dyDescent="0.3">
      <c r="A4" s="41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9" t="s">
        <v>451</v>
      </c>
      <c r="F6" s="9" t="s">
        <v>451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61" t="s">
        <v>404</v>
      </c>
      <c r="B7" s="15" t="s">
        <v>50</v>
      </c>
      <c r="C7" s="15" t="s">
        <v>48</v>
      </c>
      <c r="D7" s="80" t="s">
        <v>407</v>
      </c>
      <c r="E7" s="148">
        <v>5000</v>
      </c>
      <c r="F7" s="75">
        <f>ROUND(E7/7.5345,2)</f>
        <v>663.61</v>
      </c>
      <c r="G7" s="104">
        <v>663.61</v>
      </c>
      <c r="H7" s="104">
        <f>+G7-F7</f>
        <v>0</v>
      </c>
      <c r="I7" s="104">
        <f>664+576</f>
        <v>1240</v>
      </c>
      <c r="J7" s="104">
        <f>+I7-F7</f>
        <v>576.39</v>
      </c>
    </row>
    <row r="8" spans="1:10" ht="15" customHeight="1" x14ac:dyDescent="0.3">
      <c r="A8" s="146" t="s">
        <v>405</v>
      </c>
      <c r="B8" s="24" t="s">
        <v>51</v>
      </c>
      <c r="C8" s="24" t="s">
        <v>48</v>
      </c>
      <c r="D8" s="43" t="s">
        <v>408</v>
      </c>
      <c r="E8" s="148">
        <v>4090</v>
      </c>
      <c r="F8" s="75">
        <f>ROUND(E8/7.5345,2)</f>
        <v>542.84</v>
      </c>
      <c r="G8" s="104">
        <v>542.84</v>
      </c>
      <c r="H8" s="104">
        <f t="shared" ref="H8:H10" si="0">+G8-F8</f>
        <v>0</v>
      </c>
      <c r="I8" s="104">
        <f>+F8</f>
        <v>542.84</v>
      </c>
      <c r="J8" s="104"/>
    </row>
    <row r="9" spans="1:10" ht="15" customHeight="1" x14ac:dyDescent="0.3">
      <c r="A9" s="79" t="s">
        <v>406</v>
      </c>
      <c r="B9" s="24" t="s">
        <v>51</v>
      </c>
      <c r="C9" s="24" t="s">
        <v>48</v>
      </c>
      <c r="D9" s="80" t="s">
        <v>409</v>
      </c>
      <c r="E9" s="148">
        <v>6410</v>
      </c>
      <c r="F9" s="75">
        <f>ROUND(E9/7.5345,2)</f>
        <v>850.75</v>
      </c>
      <c r="G9" s="104">
        <v>850.75</v>
      </c>
      <c r="H9" s="104">
        <f t="shared" si="0"/>
        <v>0</v>
      </c>
      <c r="I9" s="104">
        <f>+F9</f>
        <v>850.75</v>
      </c>
      <c r="J9" s="104"/>
    </row>
    <row r="10" spans="1:10" ht="27" x14ac:dyDescent="0.3">
      <c r="A10" s="79" t="s">
        <v>406</v>
      </c>
      <c r="B10" s="24" t="s">
        <v>51</v>
      </c>
      <c r="C10" s="24" t="s">
        <v>48</v>
      </c>
      <c r="D10" s="147" t="s">
        <v>410</v>
      </c>
      <c r="E10" s="149">
        <v>500</v>
      </c>
      <c r="F10" s="75">
        <f>ROUND(E10/7.5345,2)</f>
        <v>66.36</v>
      </c>
      <c r="G10" s="104">
        <v>66.36</v>
      </c>
      <c r="H10" s="104">
        <f t="shared" si="0"/>
        <v>0</v>
      </c>
      <c r="I10" s="104">
        <f>+F10</f>
        <v>66.36</v>
      </c>
      <c r="J10" s="104"/>
    </row>
    <row r="11" spans="1:10" x14ac:dyDescent="0.3">
      <c r="A11" s="18"/>
      <c r="B11" s="18"/>
      <c r="C11" s="18"/>
      <c r="D11" s="18"/>
      <c r="E11" s="76"/>
      <c r="F11" s="104"/>
      <c r="G11" s="104"/>
      <c r="H11" s="104"/>
      <c r="I11" s="104"/>
      <c r="J11" s="104"/>
    </row>
    <row r="12" spans="1:10" x14ac:dyDescent="0.3">
      <c r="A12" s="48"/>
      <c r="B12" s="48"/>
      <c r="C12" s="48"/>
      <c r="D12" s="49" t="s">
        <v>52</v>
      </c>
      <c r="E12" s="95">
        <f t="shared" ref="E12:J12" si="1">SUM(E7:E10)</f>
        <v>16000</v>
      </c>
      <c r="F12" s="77">
        <f t="shared" si="1"/>
        <v>2123.56</v>
      </c>
      <c r="G12" s="77">
        <f t="shared" si="1"/>
        <v>2123.56</v>
      </c>
      <c r="H12" s="77">
        <f t="shared" si="1"/>
        <v>0</v>
      </c>
      <c r="I12" s="77">
        <f t="shared" si="1"/>
        <v>2699.9500000000003</v>
      </c>
      <c r="J12" s="77">
        <f t="shared" si="1"/>
        <v>576.39</v>
      </c>
    </row>
  </sheetData>
  <mergeCells count="3">
    <mergeCell ref="A1:E1"/>
    <mergeCell ref="I1:J1"/>
    <mergeCell ref="E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9"/>
  <sheetViews>
    <sheetView topLeftCell="A6" zoomScale="130" zoomScaleNormal="130" workbookViewId="0">
      <selection activeCell="J9" sqref="J9"/>
    </sheetView>
  </sheetViews>
  <sheetFormatPr defaultColWidth="9.140625" defaultRowHeight="16.5" x14ac:dyDescent="0.3"/>
  <cols>
    <col min="1" max="1" width="11.28515625" style="2" customWidth="1"/>
    <col min="2" max="2" width="7.140625" style="2" customWidth="1"/>
    <col min="3" max="3" width="7.140625" style="2" bestFit="1" customWidth="1"/>
    <col min="4" max="4" width="66.7109375" style="2" customWidth="1"/>
    <col min="5" max="5" width="27.285156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64</v>
      </c>
      <c r="B3" s="5"/>
      <c r="C3" s="6"/>
      <c r="D3" s="2" t="s">
        <v>470</v>
      </c>
      <c r="E3" s="165"/>
      <c r="F3" s="166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14" t="s">
        <v>67</v>
      </c>
      <c r="B7" s="15" t="s">
        <v>50</v>
      </c>
      <c r="C7" s="15" t="s">
        <v>48</v>
      </c>
      <c r="D7" s="55" t="s">
        <v>84</v>
      </c>
      <c r="E7" s="56">
        <v>20000</v>
      </c>
      <c r="F7" s="35">
        <f t="shared" ref="F7:F19" si="0">ROUND(E7/7.5345,2)</f>
        <v>2654.46</v>
      </c>
      <c r="G7" s="36">
        <f>+F7</f>
        <v>2654.46</v>
      </c>
      <c r="H7" s="38">
        <v>0</v>
      </c>
      <c r="I7" s="35">
        <v>5200</v>
      </c>
      <c r="J7" s="35">
        <f t="shared" ref="J7:J18" si="1">+I7-F7</f>
        <v>2545.54</v>
      </c>
    </row>
    <row r="8" spans="1:10" ht="15" customHeight="1" x14ac:dyDescent="0.3">
      <c r="A8" s="14" t="s">
        <v>73</v>
      </c>
      <c r="B8" s="15" t="s">
        <v>50</v>
      </c>
      <c r="C8" s="15" t="s">
        <v>48</v>
      </c>
      <c r="D8" s="43" t="s">
        <v>90</v>
      </c>
      <c r="E8" s="56">
        <v>1000</v>
      </c>
      <c r="F8" s="35">
        <f t="shared" si="0"/>
        <v>132.72</v>
      </c>
      <c r="G8" s="36">
        <v>2.72</v>
      </c>
      <c r="H8" s="36">
        <f t="shared" ref="H8:H10" si="2">+G8-F8</f>
        <v>-130</v>
      </c>
      <c r="I8" s="35">
        <v>133</v>
      </c>
      <c r="J8" s="35">
        <v>0</v>
      </c>
    </row>
    <row r="9" spans="1:10" ht="15" customHeight="1" x14ac:dyDescent="0.3">
      <c r="A9" s="14" t="s">
        <v>66</v>
      </c>
      <c r="B9" s="15" t="s">
        <v>50</v>
      </c>
      <c r="C9" s="15" t="s">
        <v>48</v>
      </c>
      <c r="D9" s="57" t="s">
        <v>83</v>
      </c>
      <c r="E9" s="58">
        <v>1000</v>
      </c>
      <c r="F9" s="35">
        <f t="shared" si="0"/>
        <v>132.72</v>
      </c>
      <c r="G9" s="36">
        <v>262.72000000000003</v>
      </c>
      <c r="H9" s="36">
        <f t="shared" si="2"/>
        <v>130.00000000000003</v>
      </c>
      <c r="I9" s="35">
        <v>550</v>
      </c>
      <c r="J9" s="35">
        <f t="shared" si="1"/>
        <v>417.28</v>
      </c>
    </row>
    <row r="10" spans="1:10" ht="15" customHeight="1" x14ac:dyDescent="0.3">
      <c r="A10" s="14" t="s">
        <v>72</v>
      </c>
      <c r="B10" s="15" t="s">
        <v>50</v>
      </c>
      <c r="C10" s="15" t="s">
        <v>48</v>
      </c>
      <c r="D10" s="43" t="s">
        <v>88</v>
      </c>
      <c r="E10" s="58">
        <v>1000</v>
      </c>
      <c r="F10" s="35">
        <f t="shared" si="0"/>
        <v>132.72</v>
      </c>
      <c r="G10" s="36">
        <v>112.81</v>
      </c>
      <c r="H10" s="36">
        <f t="shared" si="2"/>
        <v>-19.909999999999997</v>
      </c>
      <c r="I10" s="35">
        <v>133</v>
      </c>
      <c r="J10" s="35">
        <f t="shared" si="1"/>
        <v>0.28000000000000114</v>
      </c>
    </row>
    <row r="11" spans="1:10" ht="15" customHeight="1" x14ac:dyDescent="0.3">
      <c r="A11" s="19" t="s">
        <v>68</v>
      </c>
      <c r="B11" s="20" t="s">
        <v>50</v>
      </c>
      <c r="C11" s="20" t="s">
        <v>48</v>
      </c>
      <c r="D11" s="21" t="s">
        <v>29</v>
      </c>
      <c r="E11" s="59">
        <v>10000</v>
      </c>
      <c r="F11" s="35">
        <f t="shared" si="0"/>
        <v>1327.23</v>
      </c>
      <c r="G11" s="36">
        <v>1327.23</v>
      </c>
      <c r="H11" s="38">
        <v>0</v>
      </c>
      <c r="I11" s="35">
        <v>1327.23</v>
      </c>
      <c r="J11" s="35">
        <f>+I11-F11</f>
        <v>0</v>
      </c>
    </row>
    <row r="12" spans="1:10" ht="15" customHeight="1" x14ac:dyDescent="0.3">
      <c r="A12" s="14" t="s">
        <v>69</v>
      </c>
      <c r="B12" s="15" t="s">
        <v>50</v>
      </c>
      <c r="C12" s="15" t="s">
        <v>48</v>
      </c>
      <c r="D12" s="55" t="s">
        <v>85</v>
      </c>
      <c r="E12" s="56">
        <v>1000</v>
      </c>
      <c r="F12" s="35">
        <f t="shared" si="0"/>
        <v>132.72</v>
      </c>
      <c r="G12" s="36">
        <v>132.72</v>
      </c>
      <c r="H12" s="38">
        <v>0</v>
      </c>
      <c r="I12" s="35">
        <v>183</v>
      </c>
      <c r="J12" s="35">
        <f t="shared" si="1"/>
        <v>50.28</v>
      </c>
    </row>
    <row r="13" spans="1:10" ht="15" customHeight="1" x14ac:dyDescent="0.3">
      <c r="A13" s="14" t="s">
        <v>70</v>
      </c>
      <c r="B13" s="15" t="s">
        <v>50</v>
      </c>
      <c r="C13" s="15" t="s">
        <v>48</v>
      </c>
      <c r="D13" s="43" t="s">
        <v>86</v>
      </c>
      <c r="E13" s="58">
        <v>8300</v>
      </c>
      <c r="F13" s="35">
        <f t="shared" si="0"/>
        <v>1101.5999999999999</v>
      </c>
      <c r="G13" s="36">
        <f>+F13</f>
        <v>1101.5999999999999</v>
      </c>
      <c r="H13" s="38">
        <v>0</v>
      </c>
      <c r="I13" s="35">
        <f>+G13</f>
        <v>1101.5999999999999</v>
      </c>
      <c r="J13" s="35">
        <v>0</v>
      </c>
    </row>
    <row r="14" spans="1:10" ht="15" customHeight="1" x14ac:dyDescent="0.3">
      <c r="A14" s="14" t="s">
        <v>71</v>
      </c>
      <c r="B14" s="15" t="s">
        <v>50</v>
      </c>
      <c r="C14" s="15" t="s">
        <v>48</v>
      </c>
      <c r="D14" s="43" t="s">
        <v>87</v>
      </c>
      <c r="E14" s="60">
        <v>2600</v>
      </c>
      <c r="F14" s="35">
        <f t="shared" si="0"/>
        <v>345.08</v>
      </c>
      <c r="G14" s="36">
        <v>345.08</v>
      </c>
      <c r="H14" s="38">
        <v>0</v>
      </c>
      <c r="I14" s="35">
        <v>200</v>
      </c>
      <c r="J14" s="35">
        <f t="shared" si="1"/>
        <v>-145.07999999999998</v>
      </c>
    </row>
    <row r="15" spans="1:10" ht="15" customHeight="1" x14ac:dyDescent="0.3">
      <c r="A15" s="61" t="s">
        <v>104</v>
      </c>
      <c r="B15" s="15" t="s">
        <v>50</v>
      </c>
      <c r="C15" s="15" t="s">
        <v>48</v>
      </c>
      <c r="D15" s="62" t="s">
        <v>113</v>
      </c>
      <c r="E15" s="63">
        <v>5000</v>
      </c>
      <c r="F15" s="35">
        <f t="shared" si="0"/>
        <v>663.61</v>
      </c>
      <c r="G15" s="36">
        <v>663.61</v>
      </c>
      <c r="H15" s="38">
        <v>0</v>
      </c>
      <c r="I15" s="35">
        <v>663.61</v>
      </c>
      <c r="J15" s="35">
        <v>0</v>
      </c>
    </row>
    <row r="16" spans="1:10" ht="15" customHeight="1" x14ac:dyDescent="0.3">
      <c r="A16" s="61" t="s">
        <v>105</v>
      </c>
      <c r="B16" s="15" t="s">
        <v>50</v>
      </c>
      <c r="C16" s="15" t="s">
        <v>48</v>
      </c>
      <c r="D16" s="62" t="s">
        <v>114</v>
      </c>
      <c r="E16" s="63">
        <v>2000</v>
      </c>
      <c r="F16" s="35">
        <f t="shared" si="0"/>
        <v>265.45</v>
      </c>
      <c r="G16" s="36">
        <v>265.45</v>
      </c>
      <c r="H16" s="38">
        <v>0</v>
      </c>
      <c r="I16" s="35">
        <v>65</v>
      </c>
      <c r="J16" s="35">
        <f t="shared" si="1"/>
        <v>-200.45</v>
      </c>
    </row>
    <row r="17" spans="1:10" ht="15" customHeight="1" x14ac:dyDescent="0.3">
      <c r="A17" s="14" t="s">
        <v>106</v>
      </c>
      <c r="B17" s="15" t="s">
        <v>50</v>
      </c>
      <c r="C17" s="15" t="s">
        <v>48</v>
      </c>
      <c r="D17" s="55" t="s">
        <v>115</v>
      </c>
      <c r="E17" s="63">
        <v>2000</v>
      </c>
      <c r="F17" s="35">
        <f t="shared" si="0"/>
        <v>265.45</v>
      </c>
      <c r="G17" s="36">
        <v>265.45</v>
      </c>
      <c r="H17" s="38">
        <v>0</v>
      </c>
      <c r="I17" s="35">
        <v>265.45</v>
      </c>
      <c r="J17" s="35">
        <v>0</v>
      </c>
    </row>
    <row r="18" spans="1:10" ht="15" customHeight="1" x14ac:dyDescent="0.3">
      <c r="A18" s="14" t="s">
        <v>79</v>
      </c>
      <c r="B18" s="15" t="s">
        <v>50</v>
      </c>
      <c r="C18" s="15" t="s">
        <v>48</v>
      </c>
      <c r="D18" s="55" t="s">
        <v>95</v>
      </c>
      <c r="E18" s="56">
        <v>120400</v>
      </c>
      <c r="F18" s="35">
        <f t="shared" si="0"/>
        <v>15979.83</v>
      </c>
      <c r="G18" s="36">
        <f>+F18</f>
        <v>15979.83</v>
      </c>
      <c r="H18" s="38">
        <v>0</v>
      </c>
      <c r="I18" s="35">
        <v>17000</v>
      </c>
      <c r="J18" s="35">
        <f t="shared" si="1"/>
        <v>1020.1700000000001</v>
      </c>
    </row>
    <row r="19" spans="1:10" ht="15" customHeight="1" x14ac:dyDescent="0.3">
      <c r="A19" s="14" t="s">
        <v>446</v>
      </c>
      <c r="B19" s="15" t="s">
        <v>50</v>
      </c>
      <c r="C19" s="15" t="s">
        <v>48</v>
      </c>
      <c r="D19" s="55" t="s">
        <v>432</v>
      </c>
      <c r="E19" s="56">
        <v>13000</v>
      </c>
      <c r="F19" s="35">
        <f t="shared" si="0"/>
        <v>1725.4</v>
      </c>
      <c r="G19" s="36">
        <v>1725.4</v>
      </c>
      <c r="H19" s="38">
        <v>0</v>
      </c>
      <c r="I19" s="35">
        <v>1725.4</v>
      </c>
      <c r="J19" s="35">
        <v>0</v>
      </c>
    </row>
    <row r="20" spans="1:10" ht="15" customHeight="1" x14ac:dyDescent="0.3">
      <c r="A20" s="14" t="s">
        <v>80</v>
      </c>
      <c r="B20" s="15" t="s">
        <v>50</v>
      </c>
      <c r="C20" s="15" t="s">
        <v>48</v>
      </c>
      <c r="D20" s="16" t="s">
        <v>96</v>
      </c>
      <c r="E20" s="58">
        <v>18000</v>
      </c>
      <c r="F20" s="35">
        <f t="shared" ref="F20:F28" si="3">ROUND(E20/7.5345,2)</f>
        <v>2389.0100000000002</v>
      </c>
      <c r="G20" s="36">
        <v>2389.0100000000002</v>
      </c>
      <c r="H20" s="38">
        <v>0</v>
      </c>
      <c r="I20" s="35">
        <v>2389.0100000000002</v>
      </c>
      <c r="J20" s="35">
        <v>0</v>
      </c>
    </row>
    <row r="21" spans="1:10" ht="15" customHeight="1" x14ac:dyDescent="0.3">
      <c r="A21" s="14" t="s">
        <v>74</v>
      </c>
      <c r="B21" s="15" t="s">
        <v>50</v>
      </c>
      <c r="C21" s="15" t="s">
        <v>48</v>
      </c>
      <c r="D21" s="43" t="s">
        <v>91</v>
      </c>
      <c r="E21" s="64">
        <v>1000</v>
      </c>
      <c r="F21" s="35">
        <f t="shared" si="3"/>
        <v>132.72</v>
      </c>
      <c r="G21" s="36">
        <v>132.72</v>
      </c>
      <c r="H21" s="38">
        <v>0</v>
      </c>
      <c r="I21" s="35">
        <v>132.72</v>
      </c>
      <c r="J21" s="35">
        <v>0</v>
      </c>
    </row>
    <row r="22" spans="1:10" ht="15" customHeight="1" x14ac:dyDescent="0.3">
      <c r="A22" s="14" t="s">
        <v>78</v>
      </c>
      <c r="B22" s="15" t="s">
        <v>50</v>
      </c>
      <c r="C22" s="15" t="s">
        <v>48</v>
      </c>
      <c r="D22" s="43" t="s">
        <v>94</v>
      </c>
      <c r="E22" s="56">
        <v>2000</v>
      </c>
      <c r="F22" s="35">
        <f t="shared" si="3"/>
        <v>265.45</v>
      </c>
      <c r="G22" s="36">
        <v>265.45</v>
      </c>
      <c r="H22" s="38">
        <v>0</v>
      </c>
      <c r="I22" s="35">
        <v>265.45</v>
      </c>
      <c r="J22" s="35">
        <v>0</v>
      </c>
    </row>
    <row r="23" spans="1:10" ht="15" customHeight="1" x14ac:dyDescent="0.3">
      <c r="A23" s="14" t="s">
        <v>81</v>
      </c>
      <c r="B23" s="15" t="s">
        <v>50</v>
      </c>
      <c r="C23" s="15" t="s">
        <v>48</v>
      </c>
      <c r="D23" s="16" t="s">
        <v>97</v>
      </c>
      <c r="E23" s="58">
        <v>1000</v>
      </c>
      <c r="F23" s="35">
        <f t="shared" si="3"/>
        <v>132.72</v>
      </c>
      <c r="G23" s="36">
        <v>132.72</v>
      </c>
      <c r="H23" s="38">
        <v>0</v>
      </c>
      <c r="I23" s="35">
        <v>132.72</v>
      </c>
      <c r="J23" s="35">
        <v>0</v>
      </c>
    </row>
    <row r="24" spans="1:10" ht="15" customHeight="1" x14ac:dyDescent="0.3">
      <c r="A24" s="19" t="s">
        <v>65</v>
      </c>
      <c r="B24" s="20" t="s">
        <v>50</v>
      </c>
      <c r="C24" s="20" t="s">
        <v>48</v>
      </c>
      <c r="D24" s="57" t="s">
        <v>82</v>
      </c>
      <c r="E24" s="64">
        <v>20000</v>
      </c>
      <c r="F24" s="35">
        <f t="shared" si="3"/>
        <v>2654.46</v>
      </c>
      <c r="G24" s="36">
        <v>2654.46</v>
      </c>
      <c r="H24" s="38">
        <v>0</v>
      </c>
      <c r="I24" s="35">
        <v>2654.46</v>
      </c>
      <c r="J24" s="35">
        <v>0</v>
      </c>
    </row>
    <row r="25" spans="1:10" ht="15" customHeight="1" x14ac:dyDescent="0.3">
      <c r="A25" s="14" t="s">
        <v>103</v>
      </c>
      <c r="B25" s="15" t="s">
        <v>50</v>
      </c>
      <c r="C25" s="15" t="s">
        <v>48</v>
      </c>
      <c r="D25" s="16" t="s">
        <v>112</v>
      </c>
      <c r="E25" s="65">
        <v>4700</v>
      </c>
      <c r="F25" s="35">
        <f t="shared" si="3"/>
        <v>623.79999999999995</v>
      </c>
      <c r="G25" s="36">
        <v>623.79999999999995</v>
      </c>
      <c r="H25" s="38">
        <v>0</v>
      </c>
      <c r="I25" s="35">
        <v>623.79999999999995</v>
      </c>
      <c r="J25" s="35">
        <v>0</v>
      </c>
    </row>
    <row r="26" spans="1:10" ht="25.5" customHeight="1" x14ac:dyDescent="0.3">
      <c r="A26" s="14" t="s">
        <v>447</v>
      </c>
      <c r="B26" s="15" t="s">
        <v>50</v>
      </c>
      <c r="C26" s="15" t="s">
        <v>48</v>
      </c>
      <c r="D26" s="55" t="s">
        <v>433</v>
      </c>
      <c r="E26" s="56">
        <v>5000</v>
      </c>
      <c r="F26" s="35">
        <f t="shared" si="3"/>
        <v>663.61</v>
      </c>
      <c r="G26" s="36">
        <v>663.61</v>
      </c>
      <c r="H26" s="38">
        <v>0</v>
      </c>
      <c r="I26" s="35">
        <v>663.61</v>
      </c>
      <c r="J26" s="35">
        <v>0</v>
      </c>
    </row>
    <row r="27" spans="1:10" ht="23.25" customHeight="1" x14ac:dyDescent="0.3">
      <c r="A27" s="14" t="s">
        <v>75</v>
      </c>
      <c r="B27" s="15" t="s">
        <v>50</v>
      </c>
      <c r="C27" s="15" t="s">
        <v>48</v>
      </c>
      <c r="D27" s="66" t="s">
        <v>92</v>
      </c>
      <c r="E27" s="56">
        <v>10000</v>
      </c>
      <c r="F27" s="35">
        <f t="shared" si="3"/>
        <v>1327.23</v>
      </c>
      <c r="G27" s="36">
        <v>1327.23</v>
      </c>
      <c r="H27" s="38">
        <v>0</v>
      </c>
      <c r="I27" s="35">
        <v>1327.23</v>
      </c>
      <c r="J27" s="35">
        <v>0</v>
      </c>
    </row>
    <row r="28" spans="1:10" ht="15" customHeight="1" x14ac:dyDescent="0.3">
      <c r="A28" s="14" t="s">
        <v>77</v>
      </c>
      <c r="B28" s="15" t="s">
        <v>50</v>
      </c>
      <c r="C28" s="15" t="s">
        <v>48</v>
      </c>
      <c r="D28" s="43" t="s">
        <v>93</v>
      </c>
      <c r="E28" s="58">
        <v>1000</v>
      </c>
      <c r="F28" s="35">
        <f t="shared" si="3"/>
        <v>132.72</v>
      </c>
      <c r="G28" s="36">
        <v>132.72</v>
      </c>
      <c r="H28" s="38">
        <v>0</v>
      </c>
      <c r="I28" s="35">
        <v>132.72</v>
      </c>
      <c r="J28" s="35">
        <v>0</v>
      </c>
    </row>
    <row r="29" spans="1:10" x14ac:dyDescent="0.3">
      <c r="A29" s="48"/>
      <c r="B29" s="48"/>
      <c r="C29" s="48"/>
      <c r="D29" s="49" t="s">
        <v>52</v>
      </c>
      <c r="E29" s="50">
        <f t="shared" ref="E29:J29" si="4">SUM(E7:E28)</f>
        <v>250000</v>
      </c>
      <c r="F29" s="67">
        <f t="shared" si="4"/>
        <v>33180.710000000006</v>
      </c>
      <c r="G29" s="67">
        <f t="shared" si="4"/>
        <v>33160.80000000001</v>
      </c>
      <c r="H29" s="67">
        <f t="shared" si="4"/>
        <v>-19.909999999999968</v>
      </c>
      <c r="I29" s="67">
        <f t="shared" si="4"/>
        <v>36869.010000000017</v>
      </c>
      <c r="J29" s="67">
        <f t="shared" si="4"/>
        <v>3688.0200000000004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16"/>
  <sheetViews>
    <sheetView zoomScale="115" zoomScaleNormal="115" workbookViewId="0">
      <selection activeCell="I10" sqref="I10"/>
    </sheetView>
  </sheetViews>
  <sheetFormatPr defaultColWidth="9.140625" defaultRowHeight="16.5" x14ac:dyDescent="0.3"/>
  <cols>
    <col min="1" max="1" width="11.5703125" style="2" customWidth="1"/>
    <col min="2" max="2" width="7.5703125" style="2" customWidth="1"/>
    <col min="3" max="3" width="7.140625" style="2" bestFit="1" customWidth="1"/>
    <col min="4" max="4" width="70.140625" style="2" customWidth="1"/>
    <col min="5" max="5" width="9" style="2" hidden="1" customWidth="1"/>
    <col min="6" max="6" width="9.28515625" style="2" customWidth="1"/>
    <col min="7" max="7" width="9.28515625" style="2" hidden="1" customWidth="1"/>
    <col min="8" max="9" width="9.28515625" style="2" customWidth="1"/>
    <col min="10" max="16384" width="9.140625" style="2"/>
  </cols>
  <sheetData>
    <row r="1" spans="1:9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9" x14ac:dyDescent="0.3">
      <c r="A2" s="1"/>
      <c r="D2" s="3"/>
      <c r="E2" s="4"/>
    </row>
    <row r="3" spans="1:9" ht="15" customHeight="1" x14ac:dyDescent="0.3">
      <c r="A3" s="5" t="s">
        <v>98</v>
      </c>
      <c r="B3" s="5"/>
      <c r="C3" s="6"/>
      <c r="D3" s="152" t="s">
        <v>489</v>
      </c>
      <c r="E3" s="165"/>
      <c r="F3" s="166"/>
    </row>
    <row r="6" spans="1:9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10" t="s">
        <v>465</v>
      </c>
      <c r="I6" s="11" t="s">
        <v>460</v>
      </c>
    </row>
    <row r="7" spans="1:9" ht="15" customHeight="1" x14ac:dyDescent="0.3">
      <c r="A7" s="14" t="s">
        <v>100</v>
      </c>
      <c r="B7" s="15" t="s">
        <v>50</v>
      </c>
      <c r="C7" s="15" t="s">
        <v>48</v>
      </c>
      <c r="D7" s="16" t="s">
        <v>109</v>
      </c>
      <c r="E7" s="64">
        <v>15000</v>
      </c>
      <c r="F7" s="71">
        <f t="shared" ref="F7:F15" si="0">ROUND(E7/7.5345,2)</f>
        <v>1990.84</v>
      </c>
      <c r="G7" s="72">
        <v>1990.84</v>
      </c>
      <c r="H7" s="71">
        <v>1990.84</v>
      </c>
      <c r="I7" s="72">
        <f>+G7-H7</f>
        <v>0</v>
      </c>
    </row>
    <row r="8" spans="1:9" ht="15" customHeight="1" x14ac:dyDescent="0.3">
      <c r="A8" s="14" t="s">
        <v>415</v>
      </c>
      <c r="B8" s="15" t="s">
        <v>50</v>
      </c>
      <c r="C8" s="15" t="s">
        <v>48</v>
      </c>
      <c r="D8" s="16" t="s">
        <v>414</v>
      </c>
      <c r="E8" s="68">
        <v>32000</v>
      </c>
      <c r="F8" s="71">
        <f t="shared" si="0"/>
        <v>4247.13</v>
      </c>
      <c r="G8" s="72">
        <v>4247.13</v>
      </c>
      <c r="H8" s="71">
        <v>4247.13</v>
      </c>
      <c r="I8" s="72">
        <f t="shared" ref="I8:I15" si="1">+G8-H8</f>
        <v>0</v>
      </c>
    </row>
    <row r="9" spans="1:9" ht="15" customHeight="1" x14ac:dyDescent="0.3">
      <c r="A9" s="14" t="s">
        <v>434</v>
      </c>
      <c r="B9" s="15" t="s">
        <v>50</v>
      </c>
      <c r="C9" s="15" t="s">
        <v>48</v>
      </c>
      <c r="D9" s="16" t="s">
        <v>435</v>
      </c>
      <c r="E9" s="68">
        <v>8000</v>
      </c>
      <c r="F9" s="71">
        <f t="shared" si="0"/>
        <v>1061.78</v>
      </c>
      <c r="G9" s="72">
        <v>1061.78</v>
      </c>
      <c r="H9" s="71">
        <f>+F9</f>
        <v>1061.78</v>
      </c>
      <c r="I9" s="72">
        <f>+H9-G9</f>
        <v>0</v>
      </c>
    </row>
    <row r="10" spans="1:9" ht="15" customHeight="1" x14ac:dyDescent="0.3">
      <c r="A10" s="14" t="s">
        <v>434</v>
      </c>
      <c r="B10" s="15" t="s">
        <v>50</v>
      </c>
      <c r="C10" s="15" t="s">
        <v>48</v>
      </c>
      <c r="D10" s="16" t="s">
        <v>436</v>
      </c>
      <c r="E10" s="68">
        <v>6000</v>
      </c>
      <c r="F10" s="71">
        <f t="shared" si="0"/>
        <v>796.34</v>
      </c>
      <c r="G10" s="72">
        <v>796.34</v>
      </c>
      <c r="H10" s="71">
        <v>400</v>
      </c>
      <c r="I10" s="71">
        <f>+H10-G10</f>
        <v>-396.34000000000003</v>
      </c>
    </row>
    <row r="11" spans="1:9" ht="15" customHeight="1" x14ac:dyDescent="0.3">
      <c r="A11" s="14" t="s">
        <v>99</v>
      </c>
      <c r="B11" s="15" t="s">
        <v>50</v>
      </c>
      <c r="C11" s="15" t="s">
        <v>48</v>
      </c>
      <c r="D11" s="16" t="s">
        <v>108</v>
      </c>
      <c r="E11" s="64">
        <v>15000</v>
      </c>
      <c r="F11" s="71">
        <f t="shared" si="0"/>
        <v>1990.84</v>
      </c>
      <c r="G11" s="72">
        <v>1990.84</v>
      </c>
      <c r="H11" s="71">
        <v>990</v>
      </c>
      <c r="I11" s="71">
        <f>+H11-G11</f>
        <v>-1000.8399999999999</v>
      </c>
    </row>
    <row r="12" spans="1:9" ht="15" customHeight="1" x14ac:dyDescent="0.3">
      <c r="A12" s="19" t="s">
        <v>431</v>
      </c>
      <c r="B12" s="20" t="s">
        <v>50</v>
      </c>
      <c r="C12" s="20" t="s">
        <v>48</v>
      </c>
      <c r="D12" s="57" t="s">
        <v>430</v>
      </c>
      <c r="E12" s="64">
        <v>3000</v>
      </c>
      <c r="F12" s="71">
        <f t="shared" si="0"/>
        <v>398.17</v>
      </c>
      <c r="G12" s="72">
        <v>398.17</v>
      </c>
      <c r="H12" s="71">
        <v>0</v>
      </c>
      <c r="I12" s="71">
        <f>-G12</f>
        <v>-398.17</v>
      </c>
    </row>
    <row r="13" spans="1:9" ht="15" customHeight="1" x14ac:dyDescent="0.3">
      <c r="A13" s="14" t="s">
        <v>107</v>
      </c>
      <c r="B13" s="15" t="s">
        <v>50</v>
      </c>
      <c r="C13" s="15" t="s">
        <v>48</v>
      </c>
      <c r="D13" s="16" t="s">
        <v>116</v>
      </c>
      <c r="E13" s="69">
        <v>1000</v>
      </c>
      <c r="F13" s="71">
        <f t="shared" si="0"/>
        <v>132.72</v>
      </c>
      <c r="G13" s="72">
        <v>132.72</v>
      </c>
      <c r="H13" s="71">
        <v>132.72</v>
      </c>
      <c r="I13" s="72">
        <f t="shared" si="1"/>
        <v>0</v>
      </c>
    </row>
    <row r="14" spans="1:9" ht="15" customHeight="1" x14ac:dyDescent="0.3">
      <c r="A14" s="14" t="s">
        <v>101</v>
      </c>
      <c r="B14" s="15" t="s">
        <v>50</v>
      </c>
      <c r="C14" s="15" t="s">
        <v>48</v>
      </c>
      <c r="D14" s="43" t="s">
        <v>110</v>
      </c>
      <c r="E14" s="63">
        <v>3000</v>
      </c>
      <c r="F14" s="71">
        <f t="shared" si="0"/>
        <v>398.17</v>
      </c>
      <c r="G14" s="72">
        <v>398.17</v>
      </c>
      <c r="H14" s="71">
        <v>398.17</v>
      </c>
      <c r="I14" s="72">
        <f t="shared" si="1"/>
        <v>0</v>
      </c>
    </row>
    <row r="15" spans="1:9" ht="15" customHeight="1" x14ac:dyDescent="0.3">
      <c r="A15" s="14" t="s">
        <v>102</v>
      </c>
      <c r="B15" s="15" t="s">
        <v>50</v>
      </c>
      <c r="C15" s="15" t="s">
        <v>48</v>
      </c>
      <c r="D15" s="43" t="s">
        <v>111</v>
      </c>
      <c r="E15" s="70">
        <v>2000</v>
      </c>
      <c r="F15" s="71">
        <f t="shared" si="0"/>
        <v>265.45</v>
      </c>
      <c r="G15" s="72">
        <v>265.45</v>
      </c>
      <c r="H15" s="71">
        <v>265.45</v>
      </c>
      <c r="I15" s="72">
        <f t="shared" si="1"/>
        <v>0</v>
      </c>
    </row>
    <row r="16" spans="1:9" x14ac:dyDescent="0.3">
      <c r="A16" s="48"/>
      <c r="B16" s="48"/>
      <c r="C16" s="48"/>
      <c r="D16" s="49" t="s">
        <v>52</v>
      </c>
      <c r="E16" s="50">
        <f>SUM(E7:E15)</f>
        <v>85000</v>
      </c>
      <c r="F16" s="73">
        <f>SUM(F7:F15)</f>
        <v>11281.44</v>
      </c>
      <c r="G16" s="73">
        <f>SUM(G7:G15)</f>
        <v>11281.44</v>
      </c>
      <c r="H16" s="73">
        <f>SUM(H7:H15)</f>
        <v>9486.09</v>
      </c>
      <c r="I16" s="73">
        <f>SUM(I7:I15)</f>
        <v>-1795.35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12"/>
  <sheetViews>
    <sheetView zoomScale="145" zoomScaleNormal="145" workbookViewId="0">
      <selection activeCell="D13" sqref="D13"/>
    </sheetView>
  </sheetViews>
  <sheetFormatPr defaultColWidth="9.140625" defaultRowHeight="16.5" x14ac:dyDescent="0.3"/>
  <cols>
    <col min="1" max="1" width="12.42578125" style="2" customWidth="1"/>
    <col min="2" max="2" width="7.28515625" style="2" bestFit="1" customWidth="1"/>
    <col min="3" max="3" width="7.140625" style="2" bestFit="1" customWidth="1"/>
    <col min="4" max="4" width="66.7109375" style="2" customWidth="1"/>
    <col min="5" max="5" width="12.28515625" style="2" hidden="1" customWidth="1"/>
    <col min="6" max="6" width="9.28515625" style="2" customWidth="1"/>
    <col min="7" max="7" width="9.28515625" style="2" hidden="1" customWidth="1"/>
    <col min="8" max="9" width="9.28515625" style="2" customWidth="1"/>
    <col min="10" max="16384" width="9.140625" style="2"/>
  </cols>
  <sheetData>
    <row r="1" spans="1:9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9" x14ac:dyDescent="0.3">
      <c r="A2" s="1"/>
      <c r="D2" s="3"/>
      <c r="E2" s="4"/>
    </row>
    <row r="3" spans="1:9" ht="15" customHeight="1" x14ac:dyDescent="0.3">
      <c r="A3" s="5" t="s">
        <v>117</v>
      </c>
      <c r="B3" s="5"/>
      <c r="C3" s="6"/>
      <c r="D3" s="2" t="s">
        <v>118</v>
      </c>
      <c r="E3" s="167"/>
      <c r="F3" s="168"/>
    </row>
    <row r="6" spans="1:9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10" t="s">
        <v>465</v>
      </c>
      <c r="I6" s="11" t="s">
        <v>460</v>
      </c>
    </row>
    <row r="7" spans="1:9" ht="15" customHeight="1" x14ac:dyDescent="0.3">
      <c r="A7" s="14" t="s">
        <v>119</v>
      </c>
      <c r="B7" s="15" t="s">
        <v>50</v>
      </c>
      <c r="C7" s="15" t="s">
        <v>48</v>
      </c>
      <c r="D7" s="16" t="s">
        <v>125</v>
      </c>
      <c r="E7" s="17">
        <v>80000</v>
      </c>
      <c r="F7" s="75">
        <f t="shared" ref="F7:F11" si="0">ROUND(E7/7.5345,2)</f>
        <v>10617.82</v>
      </c>
      <c r="G7" s="76">
        <v>10617.82</v>
      </c>
      <c r="H7" s="104">
        <f>10900+(200*4)</f>
        <v>11700</v>
      </c>
      <c r="I7" s="104">
        <f>+G7-H7</f>
        <v>-1082.1800000000003</v>
      </c>
    </row>
    <row r="8" spans="1:9" ht="15" customHeight="1" x14ac:dyDescent="0.3">
      <c r="A8" s="14" t="s">
        <v>120</v>
      </c>
      <c r="B8" s="15" t="s">
        <v>50</v>
      </c>
      <c r="C8" s="15" t="s">
        <v>48</v>
      </c>
      <c r="D8" s="43" t="s">
        <v>457</v>
      </c>
      <c r="E8" s="74">
        <v>14000</v>
      </c>
      <c r="F8" s="75">
        <f t="shared" si="0"/>
        <v>1858.12</v>
      </c>
      <c r="G8" s="76">
        <v>1858.12</v>
      </c>
      <c r="H8" s="104">
        <v>2400</v>
      </c>
      <c r="I8" s="104">
        <f t="shared" ref="I8:I11" si="1">+G8-H8</f>
        <v>-541.88000000000011</v>
      </c>
    </row>
    <row r="9" spans="1:9" ht="15" customHeight="1" x14ac:dyDescent="0.3">
      <c r="A9" s="14" t="s">
        <v>122</v>
      </c>
      <c r="B9" s="15" t="s">
        <v>51</v>
      </c>
      <c r="C9" s="15" t="s">
        <v>63</v>
      </c>
      <c r="D9" s="43" t="s">
        <v>456</v>
      </c>
      <c r="E9" s="74">
        <v>360000</v>
      </c>
      <c r="F9" s="75">
        <f t="shared" si="0"/>
        <v>47780.21</v>
      </c>
      <c r="G9" s="76">
        <v>47780.21</v>
      </c>
      <c r="H9" s="104">
        <f>24000+5000</f>
        <v>29000</v>
      </c>
      <c r="I9" s="104">
        <f>+H9-G9</f>
        <v>-18780.21</v>
      </c>
    </row>
    <row r="10" spans="1:9" ht="15" customHeight="1" x14ac:dyDescent="0.3">
      <c r="A10" s="14" t="s">
        <v>123</v>
      </c>
      <c r="B10" s="15" t="s">
        <v>51</v>
      </c>
      <c r="C10" s="15" t="s">
        <v>63</v>
      </c>
      <c r="D10" s="43" t="s">
        <v>126</v>
      </c>
      <c r="E10" s="74">
        <v>97000</v>
      </c>
      <c r="F10" s="75">
        <f t="shared" si="0"/>
        <v>12874.11</v>
      </c>
      <c r="G10" s="76">
        <v>12874.11</v>
      </c>
      <c r="H10" s="104">
        <f>14000+1000</f>
        <v>15000</v>
      </c>
      <c r="I10" s="104">
        <f>+H10-G10</f>
        <v>2125.8899999999994</v>
      </c>
    </row>
    <row r="11" spans="1:9" ht="15" customHeight="1" x14ac:dyDescent="0.3">
      <c r="A11" s="14" t="s">
        <v>124</v>
      </c>
      <c r="B11" s="15" t="s">
        <v>50</v>
      </c>
      <c r="C11" s="15" t="s">
        <v>48</v>
      </c>
      <c r="D11" s="43" t="s">
        <v>127</v>
      </c>
      <c r="E11" s="74">
        <v>6000</v>
      </c>
      <c r="F11" s="75">
        <f t="shared" si="0"/>
        <v>796.34</v>
      </c>
      <c r="G11" s="76">
        <v>796.34</v>
      </c>
      <c r="H11" s="104">
        <f>+F11</f>
        <v>796.34</v>
      </c>
      <c r="I11" s="104">
        <f t="shared" si="1"/>
        <v>0</v>
      </c>
    </row>
    <row r="12" spans="1:9" x14ac:dyDescent="0.3">
      <c r="A12" s="48"/>
      <c r="B12" s="48"/>
      <c r="C12" s="48"/>
      <c r="D12" s="49" t="s">
        <v>52</v>
      </c>
      <c r="E12" s="50">
        <f>SUM(E7:E11)</f>
        <v>557000</v>
      </c>
      <c r="F12" s="77">
        <f>SUM(F7:F11)</f>
        <v>73926.599999999991</v>
      </c>
      <c r="G12" s="77">
        <f>SUM(G7:G11)</f>
        <v>73926.599999999991</v>
      </c>
      <c r="H12" s="77">
        <f>SUM(H7:H11)</f>
        <v>58896.34</v>
      </c>
      <c r="I12" s="77">
        <f>SUM(I7:I11)</f>
        <v>-18278.38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6"/>
  <sheetViews>
    <sheetView zoomScale="130" zoomScaleNormal="130" workbookViewId="0">
      <selection activeCell="N14" sqref="N14"/>
    </sheetView>
  </sheetViews>
  <sheetFormatPr defaultColWidth="9.140625" defaultRowHeight="16.5" x14ac:dyDescent="0.3"/>
  <cols>
    <col min="1" max="1" width="12.42578125" style="2" customWidth="1"/>
    <col min="2" max="2" width="7.28515625" style="2" bestFit="1" customWidth="1"/>
    <col min="3" max="3" width="7.140625" style="2" bestFit="1" customWidth="1"/>
    <col min="4" max="4" width="66.7109375" style="2" customWidth="1"/>
    <col min="5" max="5" width="14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128</v>
      </c>
      <c r="B3" s="5"/>
      <c r="C3" s="6"/>
      <c r="D3" s="2" t="s">
        <v>129</v>
      </c>
      <c r="E3" s="165"/>
      <c r="F3" s="166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14" t="s">
        <v>22</v>
      </c>
      <c r="B7" s="15" t="s">
        <v>51</v>
      </c>
      <c r="C7" s="15" t="s">
        <v>49</v>
      </c>
      <c r="D7" s="43" t="s">
        <v>137</v>
      </c>
      <c r="E7" s="68">
        <v>220000</v>
      </c>
      <c r="F7" s="75">
        <f t="shared" ref="F7:F14" si="0">ROUND(E7/7.5345,2)</f>
        <v>29199.02</v>
      </c>
      <c r="G7" s="76">
        <v>29199.02</v>
      </c>
      <c r="H7" s="76">
        <f>+G7-F7</f>
        <v>0</v>
      </c>
      <c r="I7" s="75">
        <v>60000</v>
      </c>
      <c r="J7" s="104">
        <f>+I7-F7</f>
        <v>30800.98</v>
      </c>
    </row>
    <row r="8" spans="1:10" ht="27" customHeight="1" x14ac:dyDescent="0.3">
      <c r="A8" s="19" t="s">
        <v>130</v>
      </c>
      <c r="B8" s="15" t="s">
        <v>51</v>
      </c>
      <c r="C8" s="15" t="s">
        <v>48</v>
      </c>
      <c r="D8" s="55" t="s">
        <v>138</v>
      </c>
      <c r="E8" s="68">
        <v>44000</v>
      </c>
      <c r="F8" s="75">
        <f t="shared" si="0"/>
        <v>5839.8</v>
      </c>
      <c r="G8" s="76">
        <v>5821</v>
      </c>
      <c r="H8" s="76">
        <f t="shared" ref="H8:H14" si="1">+G8-F8</f>
        <v>-18.800000000000182</v>
      </c>
      <c r="I8" s="75">
        <v>5821</v>
      </c>
      <c r="J8" s="104">
        <f t="shared" ref="J8:J14" si="2">+G8-I8</f>
        <v>0</v>
      </c>
    </row>
    <row r="9" spans="1:10" ht="27.75" customHeight="1" x14ac:dyDescent="0.3">
      <c r="A9" s="14" t="s">
        <v>131</v>
      </c>
      <c r="B9" s="15" t="s">
        <v>51</v>
      </c>
      <c r="C9" s="15" t="s">
        <v>49</v>
      </c>
      <c r="D9" s="55" t="s">
        <v>139</v>
      </c>
      <c r="E9" s="68">
        <v>275000</v>
      </c>
      <c r="F9" s="75">
        <f t="shared" si="0"/>
        <v>36498.769999999997</v>
      </c>
      <c r="G9" s="76">
        <v>36498.769999999997</v>
      </c>
      <c r="H9" s="76">
        <f t="shared" si="1"/>
        <v>0</v>
      </c>
      <c r="I9" s="75">
        <v>36498.769999999997</v>
      </c>
      <c r="J9" s="104">
        <f t="shared" si="2"/>
        <v>0</v>
      </c>
    </row>
    <row r="10" spans="1:10" ht="15" customHeight="1" x14ac:dyDescent="0.3">
      <c r="A10" s="14" t="s">
        <v>132</v>
      </c>
      <c r="B10" s="15" t="s">
        <v>51</v>
      </c>
      <c r="C10" s="15" t="s">
        <v>48</v>
      </c>
      <c r="D10" s="43" t="s">
        <v>140</v>
      </c>
      <c r="E10" s="68">
        <v>19000</v>
      </c>
      <c r="F10" s="75">
        <f t="shared" si="0"/>
        <v>2521.73</v>
      </c>
      <c r="G10" s="76">
        <v>2521.73</v>
      </c>
      <c r="H10" s="76">
        <f t="shared" si="1"/>
        <v>0</v>
      </c>
      <c r="I10" s="75">
        <v>1500</v>
      </c>
      <c r="J10" s="104">
        <f>+I10-G10</f>
        <v>-1021.73</v>
      </c>
    </row>
    <row r="11" spans="1:10" ht="15" customHeight="1" x14ac:dyDescent="0.3">
      <c r="A11" s="14" t="s">
        <v>135</v>
      </c>
      <c r="B11" s="15" t="s">
        <v>51</v>
      </c>
      <c r="C11" s="15" t="s">
        <v>48</v>
      </c>
      <c r="D11" s="43" t="s">
        <v>143</v>
      </c>
      <c r="E11" s="68">
        <v>2000</v>
      </c>
      <c r="F11" s="75">
        <f t="shared" si="0"/>
        <v>265.45</v>
      </c>
      <c r="G11" s="76">
        <v>265.45</v>
      </c>
      <c r="H11" s="76">
        <f t="shared" si="1"/>
        <v>0</v>
      </c>
      <c r="I11" s="75">
        <f>+F11</f>
        <v>265.45</v>
      </c>
      <c r="J11" s="104">
        <f>+I11-F11</f>
        <v>0</v>
      </c>
    </row>
    <row r="12" spans="1:10" ht="15" customHeight="1" x14ac:dyDescent="0.3">
      <c r="A12" s="14" t="s">
        <v>136</v>
      </c>
      <c r="B12" s="15" t="s">
        <v>51</v>
      </c>
      <c r="C12" s="15" t="s">
        <v>48</v>
      </c>
      <c r="D12" s="43" t="s">
        <v>144</v>
      </c>
      <c r="E12" s="68">
        <v>220000</v>
      </c>
      <c r="F12" s="75">
        <f t="shared" si="0"/>
        <v>29199.02</v>
      </c>
      <c r="G12" s="76">
        <v>29199.02</v>
      </c>
      <c r="H12" s="76">
        <f t="shared" si="1"/>
        <v>0</v>
      </c>
      <c r="I12" s="75">
        <v>29199.02</v>
      </c>
      <c r="J12" s="104">
        <f t="shared" si="2"/>
        <v>0</v>
      </c>
    </row>
    <row r="13" spans="1:10" ht="15" customHeight="1" x14ac:dyDescent="0.3">
      <c r="A13" s="79" t="s">
        <v>205</v>
      </c>
      <c r="B13" s="15" t="s">
        <v>51</v>
      </c>
      <c r="C13" s="15" t="s">
        <v>48</v>
      </c>
      <c r="D13" s="80" t="s">
        <v>145</v>
      </c>
      <c r="E13" s="29">
        <v>30000</v>
      </c>
      <c r="F13" s="75">
        <f t="shared" si="0"/>
        <v>3981.68</v>
      </c>
      <c r="G13" s="76">
        <v>4000</v>
      </c>
      <c r="H13" s="76">
        <f t="shared" si="1"/>
        <v>18.320000000000164</v>
      </c>
      <c r="I13" s="75">
        <v>4000</v>
      </c>
      <c r="J13" s="104">
        <f t="shared" si="2"/>
        <v>0</v>
      </c>
    </row>
    <row r="14" spans="1:10" ht="15" customHeight="1" x14ac:dyDescent="0.3">
      <c r="A14" s="27" t="s">
        <v>356</v>
      </c>
      <c r="B14" s="15" t="s">
        <v>51</v>
      </c>
      <c r="C14" s="15" t="s">
        <v>48</v>
      </c>
      <c r="D14" s="28" t="s">
        <v>364</v>
      </c>
      <c r="E14" s="81">
        <v>9000</v>
      </c>
      <c r="F14" s="75">
        <f t="shared" si="0"/>
        <v>1194.51</v>
      </c>
      <c r="G14" s="76">
        <v>1194.51</v>
      </c>
      <c r="H14" s="76">
        <f t="shared" si="1"/>
        <v>0</v>
      </c>
      <c r="I14" s="75">
        <v>1194.51</v>
      </c>
      <c r="J14" s="104">
        <f t="shared" si="2"/>
        <v>0</v>
      </c>
    </row>
    <row r="15" spans="1:10" x14ac:dyDescent="0.3">
      <c r="A15" s="48"/>
      <c r="B15" s="48"/>
      <c r="C15" s="48"/>
      <c r="D15" s="49" t="s">
        <v>52</v>
      </c>
      <c r="E15" s="50">
        <f t="shared" ref="E15:J15" si="3">SUM(E7:E14)</f>
        <v>819000</v>
      </c>
      <c r="F15" s="77">
        <f t="shared" si="3"/>
        <v>108699.97999999998</v>
      </c>
      <c r="G15" s="77">
        <f t="shared" si="3"/>
        <v>108699.5</v>
      </c>
      <c r="H15" s="77">
        <f t="shared" si="3"/>
        <v>-0.48000000000001819</v>
      </c>
      <c r="I15" s="77">
        <f t="shared" si="3"/>
        <v>138478.75</v>
      </c>
      <c r="J15" s="77">
        <f t="shared" si="3"/>
        <v>29779.25</v>
      </c>
    </row>
    <row r="16" spans="1:10" x14ac:dyDescent="0.3">
      <c r="G16" s="3"/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91"/>
  <sheetViews>
    <sheetView topLeftCell="A75" zoomScale="145" zoomScaleNormal="145" workbookViewId="0">
      <selection activeCell="D88" sqref="D88"/>
    </sheetView>
  </sheetViews>
  <sheetFormatPr defaultColWidth="9.140625" defaultRowHeight="16.5" x14ac:dyDescent="0.3"/>
  <cols>
    <col min="1" max="1" width="11.85546875" style="2" customWidth="1"/>
    <col min="2" max="2" width="7" style="2" customWidth="1"/>
    <col min="3" max="3" width="7.140625" style="2" bestFit="1" customWidth="1"/>
    <col min="4" max="4" width="66.7109375" style="2" customWidth="1"/>
    <col min="5" max="5" width="22.8554687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1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1" x14ac:dyDescent="0.3">
      <c r="A2" s="1"/>
      <c r="D2" s="3"/>
      <c r="E2" s="4"/>
    </row>
    <row r="3" spans="1:11" ht="15" customHeight="1" x14ac:dyDescent="0.3">
      <c r="A3" s="5" t="s">
        <v>268</v>
      </c>
      <c r="B3" s="5"/>
      <c r="C3" s="6"/>
      <c r="D3" s="2" t="s">
        <v>471</v>
      </c>
      <c r="E3" s="165"/>
      <c r="F3" s="166"/>
    </row>
    <row r="6" spans="1:11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1" ht="27" x14ac:dyDescent="0.3">
      <c r="A7" s="82" t="s">
        <v>146</v>
      </c>
      <c r="B7" s="20" t="s">
        <v>51</v>
      </c>
      <c r="C7" s="20" t="s">
        <v>49</v>
      </c>
      <c r="D7" s="83" t="s">
        <v>445</v>
      </c>
      <c r="E7" s="68">
        <v>10000</v>
      </c>
      <c r="F7" s="75">
        <f t="shared" ref="F7:F26" si="0">ROUND(E7/7.5345,2)</f>
        <v>1327.23</v>
      </c>
      <c r="G7" s="76">
        <v>1327.23</v>
      </c>
      <c r="H7" s="76">
        <v>500</v>
      </c>
      <c r="I7" s="75">
        <v>827</v>
      </c>
      <c r="J7" s="104">
        <f t="shared" ref="J7:J14" si="1">+I7-G7</f>
        <v>-500.23</v>
      </c>
    </row>
    <row r="8" spans="1:11" x14ac:dyDescent="0.3">
      <c r="A8" s="82" t="s">
        <v>147</v>
      </c>
      <c r="B8" s="20" t="s">
        <v>51</v>
      </c>
      <c r="C8" s="20" t="s">
        <v>49</v>
      </c>
      <c r="D8" s="83" t="s">
        <v>206</v>
      </c>
      <c r="E8" s="68">
        <v>500</v>
      </c>
      <c r="F8" s="75">
        <f t="shared" si="0"/>
        <v>66.36</v>
      </c>
      <c r="G8" s="76">
        <v>66.36</v>
      </c>
      <c r="H8" s="76">
        <f t="shared" ref="H8:H71" si="2">+G8-F8</f>
        <v>0</v>
      </c>
      <c r="I8" s="75">
        <f>+F8</f>
        <v>66.36</v>
      </c>
      <c r="J8" s="104">
        <f t="shared" si="1"/>
        <v>0</v>
      </c>
    </row>
    <row r="9" spans="1:11" x14ac:dyDescent="0.3">
      <c r="A9" s="19" t="s">
        <v>148</v>
      </c>
      <c r="B9" s="20" t="s">
        <v>51</v>
      </c>
      <c r="C9" s="20" t="s">
        <v>48</v>
      </c>
      <c r="D9" s="83" t="s">
        <v>89</v>
      </c>
      <c r="E9" s="23">
        <v>15000</v>
      </c>
      <c r="F9" s="75">
        <f t="shared" si="0"/>
        <v>1990.84</v>
      </c>
      <c r="G9" s="76">
        <v>1990.84</v>
      </c>
      <c r="H9" s="76">
        <f t="shared" si="2"/>
        <v>0</v>
      </c>
      <c r="I9" s="75">
        <v>7000</v>
      </c>
      <c r="J9" s="104">
        <f>+I9-F9</f>
        <v>5009.16</v>
      </c>
      <c r="K9" s="2" t="s">
        <v>466</v>
      </c>
    </row>
    <row r="10" spans="1:11" ht="27" x14ac:dyDescent="0.3">
      <c r="A10" s="84" t="s">
        <v>150</v>
      </c>
      <c r="B10" s="85" t="s">
        <v>51</v>
      </c>
      <c r="C10" s="85" t="s">
        <v>48</v>
      </c>
      <c r="D10" s="21" t="s">
        <v>209</v>
      </c>
      <c r="E10" s="17">
        <v>5500</v>
      </c>
      <c r="F10" s="75">
        <f t="shared" si="0"/>
        <v>729.98</v>
      </c>
      <c r="G10" s="76">
        <v>729.98</v>
      </c>
      <c r="H10" s="76">
        <f t="shared" si="2"/>
        <v>0</v>
      </c>
      <c r="I10" s="75">
        <f>+F10</f>
        <v>729.98</v>
      </c>
      <c r="J10" s="104">
        <f t="shared" si="1"/>
        <v>0</v>
      </c>
    </row>
    <row r="11" spans="1:11" x14ac:dyDescent="0.3">
      <c r="A11" s="19" t="s">
        <v>153</v>
      </c>
      <c r="B11" s="20" t="s">
        <v>51</v>
      </c>
      <c r="C11" s="20" t="s">
        <v>48</v>
      </c>
      <c r="D11" s="57" t="s">
        <v>212</v>
      </c>
      <c r="E11" s="74">
        <v>5000</v>
      </c>
      <c r="F11" s="75">
        <f t="shared" si="0"/>
        <v>663.61</v>
      </c>
      <c r="G11" s="76">
        <v>663.61</v>
      </c>
      <c r="H11" s="76">
        <f t="shared" si="2"/>
        <v>0</v>
      </c>
      <c r="I11" s="75">
        <v>100</v>
      </c>
      <c r="J11" s="104">
        <f>+I11-G11</f>
        <v>-563.61</v>
      </c>
    </row>
    <row r="12" spans="1:11" x14ac:dyDescent="0.3">
      <c r="A12" s="19" t="s">
        <v>156</v>
      </c>
      <c r="B12" s="20" t="s">
        <v>51</v>
      </c>
      <c r="C12" s="20" t="s">
        <v>48</v>
      </c>
      <c r="D12" s="57" t="s">
        <v>215</v>
      </c>
      <c r="E12" s="17">
        <v>4000</v>
      </c>
      <c r="F12" s="75">
        <f t="shared" si="0"/>
        <v>530.89</v>
      </c>
      <c r="G12" s="76">
        <v>530.89</v>
      </c>
      <c r="H12" s="76">
        <f t="shared" si="2"/>
        <v>0</v>
      </c>
      <c r="I12" s="75">
        <f>+F12</f>
        <v>530.89</v>
      </c>
      <c r="J12" s="104">
        <f t="shared" si="1"/>
        <v>0</v>
      </c>
    </row>
    <row r="13" spans="1:11" x14ac:dyDescent="0.3">
      <c r="A13" s="19" t="s">
        <v>157</v>
      </c>
      <c r="B13" s="20" t="s">
        <v>51</v>
      </c>
      <c r="C13" s="20" t="s">
        <v>48</v>
      </c>
      <c r="D13" s="57" t="s">
        <v>216</v>
      </c>
      <c r="E13" s="17">
        <v>2000</v>
      </c>
      <c r="F13" s="75">
        <f t="shared" si="0"/>
        <v>265.45</v>
      </c>
      <c r="G13" s="76">
        <v>265.45</v>
      </c>
      <c r="H13" s="76">
        <f t="shared" si="2"/>
        <v>0</v>
      </c>
      <c r="I13" s="75">
        <f>+F13</f>
        <v>265.45</v>
      </c>
      <c r="J13" s="104">
        <f t="shared" si="1"/>
        <v>0</v>
      </c>
    </row>
    <row r="14" spans="1:11" x14ac:dyDescent="0.3">
      <c r="A14" s="19" t="s">
        <v>154</v>
      </c>
      <c r="B14" s="20" t="s">
        <v>51</v>
      </c>
      <c r="C14" s="20" t="s">
        <v>48</v>
      </c>
      <c r="D14" s="57" t="s">
        <v>213</v>
      </c>
      <c r="E14" s="74">
        <v>5000</v>
      </c>
      <c r="F14" s="75">
        <f t="shared" si="0"/>
        <v>663.61</v>
      </c>
      <c r="G14" s="76">
        <v>663.61</v>
      </c>
      <c r="H14" s="76">
        <f t="shared" si="2"/>
        <v>0</v>
      </c>
      <c r="I14" s="75">
        <f>+F14</f>
        <v>663.61</v>
      </c>
      <c r="J14" s="104">
        <f t="shared" si="1"/>
        <v>0</v>
      </c>
    </row>
    <row r="15" spans="1:11" x14ac:dyDescent="0.3">
      <c r="A15" s="19" t="s">
        <v>151</v>
      </c>
      <c r="B15" s="20" t="s">
        <v>51</v>
      </c>
      <c r="C15" s="20" t="s">
        <v>48</v>
      </c>
      <c r="D15" s="57" t="s">
        <v>210</v>
      </c>
      <c r="E15" s="74">
        <v>4000</v>
      </c>
      <c r="F15" s="75">
        <f t="shared" si="0"/>
        <v>530.89</v>
      </c>
      <c r="G15" s="76">
        <v>530.89</v>
      </c>
      <c r="H15" s="76">
        <f t="shared" si="2"/>
        <v>0</v>
      </c>
      <c r="I15" s="75">
        <v>100</v>
      </c>
      <c r="J15" s="104">
        <f>+I15-G15</f>
        <v>-430.89</v>
      </c>
    </row>
    <row r="16" spans="1:11" x14ac:dyDescent="0.3">
      <c r="A16" s="19" t="s">
        <v>103</v>
      </c>
      <c r="B16" s="20" t="s">
        <v>51</v>
      </c>
      <c r="C16" s="20" t="s">
        <v>48</v>
      </c>
      <c r="D16" s="57" t="s">
        <v>211</v>
      </c>
      <c r="E16" s="74">
        <v>5000</v>
      </c>
      <c r="F16" s="75">
        <f t="shared" si="0"/>
        <v>663.61</v>
      </c>
      <c r="G16" s="76">
        <v>663.61</v>
      </c>
      <c r="H16" s="76">
        <f t="shared" si="2"/>
        <v>0</v>
      </c>
      <c r="I16" s="75">
        <f>+F16</f>
        <v>663.61</v>
      </c>
      <c r="J16" s="104">
        <f t="shared" ref="J16" si="3">+I16-G16</f>
        <v>0</v>
      </c>
    </row>
    <row r="17" spans="1:10" x14ac:dyDescent="0.3">
      <c r="A17" s="19" t="s">
        <v>187</v>
      </c>
      <c r="B17" s="20" t="s">
        <v>51</v>
      </c>
      <c r="C17" s="20" t="s">
        <v>48</v>
      </c>
      <c r="D17" s="57" t="s">
        <v>248</v>
      </c>
      <c r="E17" s="74">
        <v>20000</v>
      </c>
      <c r="F17" s="75">
        <f t="shared" si="0"/>
        <v>2654.46</v>
      </c>
      <c r="G17" s="76">
        <v>2654</v>
      </c>
      <c r="H17" s="76">
        <f t="shared" si="2"/>
        <v>-0.46000000000003638</v>
      </c>
      <c r="I17" s="75">
        <v>0</v>
      </c>
      <c r="J17" s="104">
        <f>+I17-G17</f>
        <v>-2654</v>
      </c>
    </row>
    <row r="18" spans="1:10" ht="27" x14ac:dyDescent="0.3">
      <c r="A18" s="19" t="s">
        <v>158</v>
      </c>
      <c r="B18" s="20" t="s">
        <v>51</v>
      </c>
      <c r="C18" s="20" t="s">
        <v>48</v>
      </c>
      <c r="D18" s="83" t="s">
        <v>217</v>
      </c>
      <c r="E18" s="23">
        <v>5000</v>
      </c>
      <c r="F18" s="75">
        <f t="shared" si="0"/>
        <v>663.61</v>
      </c>
      <c r="G18" s="76">
        <v>663.61</v>
      </c>
      <c r="H18" s="76">
        <f t="shared" si="2"/>
        <v>0</v>
      </c>
      <c r="I18" s="75">
        <f>+F18</f>
        <v>663.61</v>
      </c>
      <c r="J18" s="104">
        <f t="shared" ref="J18:J19" si="4">+I18-G18</f>
        <v>0</v>
      </c>
    </row>
    <row r="19" spans="1:10" x14ac:dyDescent="0.3">
      <c r="A19" s="19" t="s">
        <v>160</v>
      </c>
      <c r="B19" s="20" t="s">
        <v>51</v>
      </c>
      <c r="C19" s="20" t="s">
        <v>48</v>
      </c>
      <c r="D19" s="83" t="s">
        <v>219</v>
      </c>
      <c r="E19" s="23">
        <v>5000</v>
      </c>
      <c r="F19" s="75">
        <f t="shared" si="0"/>
        <v>663.61</v>
      </c>
      <c r="G19" s="76">
        <v>663.61</v>
      </c>
      <c r="H19" s="76">
        <f t="shared" si="2"/>
        <v>0</v>
      </c>
      <c r="I19" s="75">
        <f>+F19</f>
        <v>663.61</v>
      </c>
      <c r="J19" s="104">
        <f t="shared" si="4"/>
        <v>0</v>
      </c>
    </row>
    <row r="20" spans="1:10" x14ac:dyDescent="0.3">
      <c r="A20" s="82" t="s">
        <v>159</v>
      </c>
      <c r="B20" s="20" t="s">
        <v>51</v>
      </c>
      <c r="C20" s="20" t="s">
        <v>48</v>
      </c>
      <c r="D20" s="83" t="s">
        <v>218</v>
      </c>
      <c r="E20" s="68">
        <v>30000</v>
      </c>
      <c r="F20" s="75">
        <f t="shared" si="0"/>
        <v>3981.68</v>
      </c>
      <c r="G20" s="76">
        <v>2461.6799999999998</v>
      </c>
      <c r="H20" s="76">
        <f t="shared" si="2"/>
        <v>-1520</v>
      </c>
      <c r="I20" s="75">
        <f>+F20</f>
        <v>3981.68</v>
      </c>
      <c r="J20" s="104">
        <v>0</v>
      </c>
    </row>
    <row r="21" spans="1:10" x14ac:dyDescent="0.3">
      <c r="A21" s="19" t="s">
        <v>161</v>
      </c>
      <c r="B21" s="20" t="s">
        <v>51</v>
      </c>
      <c r="C21" s="20" t="s">
        <v>49</v>
      </c>
      <c r="D21" s="83" t="s">
        <v>220</v>
      </c>
      <c r="E21" s="23">
        <v>700000</v>
      </c>
      <c r="F21" s="75">
        <f t="shared" si="0"/>
        <v>92905.97</v>
      </c>
      <c r="G21" s="76">
        <v>92905.97</v>
      </c>
      <c r="H21" s="76">
        <f t="shared" si="2"/>
        <v>0</v>
      </c>
      <c r="I21" s="75">
        <f>+G21</f>
        <v>92905.97</v>
      </c>
      <c r="J21" s="153">
        <v>0</v>
      </c>
    </row>
    <row r="22" spans="1:10" x14ac:dyDescent="0.3">
      <c r="A22" s="19" t="s">
        <v>162</v>
      </c>
      <c r="B22" s="20" t="s">
        <v>51</v>
      </c>
      <c r="C22" s="20" t="s">
        <v>48</v>
      </c>
      <c r="D22" s="83" t="s">
        <v>221</v>
      </c>
      <c r="E22" s="23">
        <v>80000</v>
      </c>
      <c r="F22" s="75">
        <f t="shared" si="0"/>
        <v>10617.82</v>
      </c>
      <c r="G22" s="76">
        <v>10617.82</v>
      </c>
      <c r="H22" s="76">
        <f t="shared" si="2"/>
        <v>0</v>
      </c>
      <c r="I22" s="75">
        <v>5000</v>
      </c>
      <c r="J22" s="104">
        <f>+I22-G22</f>
        <v>-5617.82</v>
      </c>
    </row>
    <row r="23" spans="1:10" ht="20.25" customHeight="1" x14ac:dyDescent="0.3">
      <c r="A23" s="19" t="s">
        <v>189</v>
      </c>
      <c r="B23" s="20" t="s">
        <v>51</v>
      </c>
      <c r="C23" s="20" t="s">
        <v>48</v>
      </c>
      <c r="D23" s="83" t="s">
        <v>250</v>
      </c>
      <c r="E23" s="23">
        <v>10000</v>
      </c>
      <c r="F23" s="75">
        <f t="shared" si="0"/>
        <v>1327.23</v>
      </c>
      <c r="G23" s="76">
        <v>1327.23</v>
      </c>
      <c r="H23" s="76">
        <f t="shared" si="2"/>
        <v>0</v>
      </c>
      <c r="I23" s="75">
        <f>+F23</f>
        <v>1327.23</v>
      </c>
      <c r="J23" s="104">
        <v>0</v>
      </c>
    </row>
    <row r="24" spans="1:10" x14ac:dyDescent="0.3">
      <c r="A24" s="19" t="s">
        <v>188</v>
      </c>
      <c r="B24" s="20" t="s">
        <v>51</v>
      </c>
      <c r="C24" s="20" t="s">
        <v>48</v>
      </c>
      <c r="D24" s="83" t="s">
        <v>249</v>
      </c>
      <c r="E24" s="23">
        <v>120000</v>
      </c>
      <c r="F24" s="75">
        <f t="shared" si="0"/>
        <v>15926.74</v>
      </c>
      <c r="G24" s="76">
        <v>15926.74</v>
      </c>
      <c r="H24" s="76">
        <f t="shared" si="2"/>
        <v>0</v>
      </c>
      <c r="I24" s="75">
        <v>8000</v>
      </c>
      <c r="J24" s="104">
        <f>+I24-F24</f>
        <v>-7926.74</v>
      </c>
    </row>
    <row r="25" spans="1:10" x14ac:dyDescent="0.3">
      <c r="A25" s="19" t="s">
        <v>163</v>
      </c>
      <c r="B25" s="20" t="s">
        <v>51</v>
      </c>
      <c r="C25" s="20" t="s">
        <v>48</v>
      </c>
      <c r="D25" s="83" t="s">
        <v>222</v>
      </c>
      <c r="E25" s="23">
        <v>120000</v>
      </c>
      <c r="F25" s="75">
        <f t="shared" si="0"/>
        <v>15926.74</v>
      </c>
      <c r="G25" s="76">
        <v>16145.55</v>
      </c>
      <c r="H25" s="76">
        <f t="shared" si="2"/>
        <v>218.80999999999949</v>
      </c>
      <c r="I25" s="75">
        <v>1000</v>
      </c>
      <c r="J25" s="104">
        <f>+I25-F25</f>
        <v>-14926.74</v>
      </c>
    </row>
    <row r="26" spans="1:10" x14ac:dyDescent="0.3">
      <c r="A26" s="19" t="s">
        <v>133</v>
      </c>
      <c r="B26" s="20" t="s">
        <v>51</v>
      </c>
      <c r="C26" s="20" t="s">
        <v>48</v>
      </c>
      <c r="D26" s="57" t="s">
        <v>141</v>
      </c>
      <c r="E26" s="17">
        <v>80000</v>
      </c>
      <c r="F26" s="75">
        <f t="shared" si="0"/>
        <v>10617.82</v>
      </c>
      <c r="G26" s="76">
        <v>10617.82</v>
      </c>
      <c r="H26" s="76">
        <f t="shared" si="2"/>
        <v>0</v>
      </c>
      <c r="I26" s="75">
        <f>+F26</f>
        <v>10617.82</v>
      </c>
      <c r="J26" s="104">
        <v>0</v>
      </c>
    </row>
    <row r="27" spans="1:10" x14ac:dyDescent="0.3">
      <c r="A27" s="19" t="s">
        <v>164</v>
      </c>
      <c r="B27" s="20" t="s">
        <v>51</v>
      </c>
      <c r="C27" s="20" t="s">
        <v>48</v>
      </c>
      <c r="D27" s="83" t="s">
        <v>223</v>
      </c>
      <c r="E27" s="23">
        <v>4000</v>
      </c>
      <c r="F27" s="75">
        <f t="shared" ref="F27:F46" si="5">ROUND(E27/7.5345,2)</f>
        <v>530.89</v>
      </c>
      <c r="G27" s="76">
        <v>530.89</v>
      </c>
      <c r="H27" s="76">
        <f t="shared" si="2"/>
        <v>0</v>
      </c>
      <c r="I27" s="75">
        <f>+F27</f>
        <v>530.89</v>
      </c>
      <c r="J27" s="104">
        <v>0</v>
      </c>
    </row>
    <row r="28" spans="1:10" x14ac:dyDescent="0.3">
      <c r="A28" s="19" t="s">
        <v>134</v>
      </c>
      <c r="B28" s="20" t="s">
        <v>51</v>
      </c>
      <c r="C28" s="20" t="s">
        <v>48</v>
      </c>
      <c r="D28" s="83" t="s">
        <v>142</v>
      </c>
      <c r="E28" s="23">
        <v>50000</v>
      </c>
      <c r="F28" s="75">
        <f t="shared" si="5"/>
        <v>6636.14</v>
      </c>
      <c r="G28" s="76">
        <v>6636.14</v>
      </c>
      <c r="H28" s="76">
        <f t="shared" si="2"/>
        <v>0</v>
      </c>
      <c r="I28" s="75">
        <v>3000</v>
      </c>
      <c r="J28" s="104">
        <f>+I28-G28</f>
        <v>-3636.1400000000003</v>
      </c>
    </row>
    <row r="29" spans="1:10" ht="27" x14ac:dyDescent="0.3">
      <c r="A29" s="19" t="s">
        <v>186</v>
      </c>
      <c r="B29" s="20" t="s">
        <v>51</v>
      </c>
      <c r="C29" s="20" t="s">
        <v>48</v>
      </c>
      <c r="D29" s="57" t="s">
        <v>246</v>
      </c>
      <c r="E29" s="74">
        <v>20000</v>
      </c>
      <c r="F29" s="75">
        <f t="shared" si="5"/>
        <v>2654.46</v>
      </c>
      <c r="G29" s="76">
        <v>2654.46</v>
      </c>
      <c r="H29" s="76">
        <f t="shared" si="2"/>
        <v>0</v>
      </c>
      <c r="I29" s="75">
        <v>2654.46</v>
      </c>
      <c r="J29" s="104">
        <v>0</v>
      </c>
    </row>
    <row r="30" spans="1:10" x14ac:dyDescent="0.3">
      <c r="A30" s="19" t="s">
        <v>155</v>
      </c>
      <c r="B30" s="20" t="s">
        <v>51</v>
      </c>
      <c r="C30" s="20" t="s">
        <v>48</v>
      </c>
      <c r="D30" s="57" t="s">
        <v>214</v>
      </c>
      <c r="E30" s="17">
        <v>40000</v>
      </c>
      <c r="F30" s="75">
        <f t="shared" si="5"/>
        <v>5308.91</v>
      </c>
      <c r="G30" s="76">
        <v>5308.91</v>
      </c>
      <c r="H30" s="76">
        <f t="shared" si="2"/>
        <v>0</v>
      </c>
      <c r="I30" s="75">
        <v>5308.91</v>
      </c>
      <c r="J30" s="104">
        <v>0</v>
      </c>
    </row>
    <row r="31" spans="1:10" x14ac:dyDescent="0.3">
      <c r="A31" s="19" t="s">
        <v>155</v>
      </c>
      <c r="B31" s="20" t="s">
        <v>51</v>
      </c>
      <c r="C31" s="20" t="s">
        <v>48</v>
      </c>
      <c r="D31" s="57" t="s">
        <v>224</v>
      </c>
      <c r="E31" s="17">
        <v>2000</v>
      </c>
      <c r="F31" s="75">
        <f t="shared" si="5"/>
        <v>265.45</v>
      </c>
      <c r="G31" s="76">
        <v>265.45</v>
      </c>
      <c r="H31" s="76">
        <f t="shared" si="2"/>
        <v>0</v>
      </c>
      <c r="I31" s="75">
        <v>265.45</v>
      </c>
      <c r="J31" s="104">
        <v>0</v>
      </c>
    </row>
    <row r="32" spans="1:10" x14ac:dyDescent="0.3">
      <c r="A32" s="82" t="s">
        <v>165</v>
      </c>
      <c r="B32" s="20" t="s">
        <v>51</v>
      </c>
      <c r="C32" s="20" t="s">
        <v>48</v>
      </c>
      <c r="D32" s="83" t="s">
        <v>226</v>
      </c>
      <c r="E32" s="68">
        <v>50000</v>
      </c>
      <c r="F32" s="75">
        <f t="shared" si="5"/>
        <v>6636.14</v>
      </c>
      <c r="G32" s="76">
        <v>6636.14</v>
      </c>
      <c r="H32" s="76">
        <f t="shared" si="2"/>
        <v>0</v>
      </c>
      <c r="I32" s="75">
        <v>6636.14</v>
      </c>
      <c r="J32" s="104">
        <v>0</v>
      </c>
    </row>
    <row r="33" spans="1:10" x14ac:dyDescent="0.3">
      <c r="A33" s="19" t="s">
        <v>169</v>
      </c>
      <c r="B33" s="20" t="s">
        <v>51</v>
      </c>
      <c r="C33" s="20" t="s">
        <v>48</v>
      </c>
      <c r="D33" s="57" t="s">
        <v>229</v>
      </c>
      <c r="E33" s="17">
        <v>10000</v>
      </c>
      <c r="F33" s="75">
        <f t="shared" si="5"/>
        <v>1327.23</v>
      </c>
      <c r="G33" s="76">
        <v>1327.23</v>
      </c>
      <c r="H33" s="76">
        <f t="shared" si="2"/>
        <v>0</v>
      </c>
      <c r="I33" s="75">
        <v>1327.23</v>
      </c>
      <c r="J33" s="104">
        <v>0</v>
      </c>
    </row>
    <row r="34" spans="1:10" x14ac:dyDescent="0.3">
      <c r="A34" s="82" t="s">
        <v>167</v>
      </c>
      <c r="B34" s="20" t="s">
        <v>51</v>
      </c>
      <c r="C34" s="20" t="s">
        <v>48</v>
      </c>
      <c r="D34" s="83" t="s">
        <v>227</v>
      </c>
      <c r="E34" s="68">
        <v>6000</v>
      </c>
      <c r="F34" s="75">
        <f t="shared" si="5"/>
        <v>796.34</v>
      </c>
      <c r="G34" s="76">
        <v>796.34</v>
      </c>
      <c r="H34" s="76">
        <f t="shared" si="2"/>
        <v>0</v>
      </c>
      <c r="I34" s="75">
        <v>796.34</v>
      </c>
      <c r="J34" s="104">
        <v>0</v>
      </c>
    </row>
    <row r="35" spans="1:10" x14ac:dyDescent="0.3">
      <c r="A35" s="82" t="s">
        <v>152</v>
      </c>
      <c r="B35" s="20" t="s">
        <v>51</v>
      </c>
      <c r="C35" s="20" t="s">
        <v>48</v>
      </c>
      <c r="D35" s="83" t="s">
        <v>418</v>
      </c>
      <c r="E35" s="68">
        <v>70000</v>
      </c>
      <c r="F35" s="75">
        <f t="shared" si="5"/>
        <v>9290.6</v>
      </c>
      <c r="G35" s="76">
        <v>9290.6</v>
      </c>
      <c r="H35" s="76">
        <f t="shared" si="2"/>
        <v>0</v>
      </c>
      <c r="I35" s="75">
        <v>9290.6</v>
      </c>
      <c r="J35" s="104">
        <v>0</v>
      </c>
    </row>
    <row r="36" spans="1:10" x14ac:dyDescent="0.3">
      <c r="A36" s="19" t="s">
        <v>152</v>
      </c>
      <c r="B36" s="20" t="s">
        <v>51</v>
      </c>
      <c r="C36" s="20" t="s">
        <v>48</v>
      </c>
      <c r="D36" s="57" t="s">
        <v>230</v>
      </c>
      <c r="E36" s="17">
        <v>5000</v>
      </c>
      <c r="F36" s="75">
        <f t="shared" si="5"/>
        <v>663.61</v>
      </c>
      <c r="G36" s="76">
        <v>663.61</v>
      </c>
      <c r="H36" s="76">
        <f t="shared" si="2"/>
        <v>0</v>
      </c>
      <c r="I36" s="75">
        <v>663.61</v>
      </c>
      <c r="J36" s="104">
        <v>0</v>
      </c>
    </row>
    <row r="37" spans="1:10" x14ac:dyDescent="0.3">
      <c r="A37" s="19" t="s">
        <v>170</v>
      </c>
      <c r="B37" s="20" t="s">
        <v>51</v>
      </c>
      <c r="C37" s="20" t="s">
        <v>48</v>
      </c>
      <c r="D37" s="57" t="s">
        <v>231</v>
      </c>
      <c r="E37" s="17">
        <v>5000</v>
      </c>
      <c r="F37" s="75">
        <f t="shared" si="5"/>
        <v>663.61</v>
      </c>
      <c r="G37" s="76">
        <v>663.61</v>
      </c>
      <c r="H37" s="76">
        <f t="shared" si="2"/>
        <v>0</v>
      </c>
      <c r="I37" s="75">
        <v>663.61</v>
      </c>
      <c r="J37" s="104">
        <v>0</v>
      </c>
    </row>
    <row r="38" spans="1:10" ht="27" x14ac:dyDescent="0.3">
      <c r="A38" s="19" t="s">
        <v>191</v>
      </c>
      <c r="B38" s="20" t="s">
        <v>51</v>
      </c>
      <c r="C38" s="20" t="s">
        <v>48</v>
      </c>
      <c r="D38" s="83" t="s">
        <v>429</v>
      </c>
      <c r="E38" s="23">
        <v>50000</v>
      </c>
      <c r="F38" s="75">
        <f t="shared" si="5"/>
        <v>6636.14</v>
      </c>
      <c r="G38" s="76">
        <v>6636.14</v>
      </c>
      <c r="H38" s="76">
        <f t="shared" si="2"/>
        <v>0</v>
      </c>
      <c r="I38" s="75">
        <v>6636.14</v>
      </c>
      <c r="J38" s="104">
        <v>0</v>
      </c>
    </row>
    <row r="39" spans="1:10" x14ac:dyDescent="0.3">
      <c r="A39" s="19" t="s">
        <v>172</v>
      </c>
      <c r="B39" s="20" t="s">
        <v>51</v>
      </c>
      <c r="C39" s="20" t="s">
        <v>48</v>
      </c>
      <c r="D39" s="21" t="s">
        <v>233</v>
      </c>
      <c r="E39" s="17">
        <v>5000</v>
      </c>
      <c r="F39" s="75">
        <f t="shared" si="5"/>
        <v>663.61</v>
      </c>
      <c r="G39" s="76">
        <v>663.61</v>
      </c>
      <c r="H39" s="76">
        <f t="shared" si="2"/>
        <v>0</v>
      </c>
      <c r="I39" s="75">
        <v>300</v>
      </c>
      <c r="J39" s="104">
        <f>+I39-G39</f>
        <v>-363.61</v>
      </c>
    </row>
    <row r="40" spans="1:10" x14ac:dyDescent="0.3">
      <c r="A40" s="19" t="s">
        <v>173</v>
      </c>
      <c r="B40" s="20" t="s">
        <v>51</v>
      </c>
      <c r="C40" s="20" t="s">
        <v>48</v>
      </c>
      <c r="D40" s="83" t="s">
        <v>426</v>
      </c>
      <c r="E40" s="23">
        <v>10000</v>
      </c>
      <c r="F40" s="75">
        <f t="shared" si="5"/>
        <v>1327.23</v>
      </c>
      <c r="G40" s="76">
        <v>2847.23</v>
      </c>
      <c r="H40" s="76">
        <f t="shared" si="2"/>
        <v>1520</v>
      </c>
      <c r="I40" s="75">
        <v>1327.23</v>
      </c>
      <c r="J40" s="104">
        <v>0</v>
      </c>
    </row>
    <row r="41" spans="1:10" x14ac:dyDescent="0.3">
      <c r="A41" s="19" t="s">
        <v>171</v>
      </c>
      <c r="B41" s="20" t="s">
        <v>51</v>
      </c>
      <c r="C41" s="20" t="s">
        <v>48</v>
      </c>
      <c r="D41" s="57" t="s">
        <v>232</v>
      </c>
      <c r="E41" s="17">
        <v>5000</v>
      </c>
      <c r="F41" s="75">
        <f t="shared" si="5"/>
        <v>663.61</v>
      </c>
      <c r="G41" s="76">
        <v>663.61</v>
      </c>
      <c r="H41" s="76">
        <f t="shared" si="2"/>
        <v>0</v>
      </c>
      <c r="I41" s="75">
        <v>663.61</v>
      </c>
      <c r="J41" s="104">
        <v>0</v>
      </c>
    </row>
    <row r="42" spans="1:10" ht="27" x14ac:dyDescent="0.3">
      <c r="A42" s="19" t="s">
        <v>174</v>
      </c>
      <c r="B42" s="20" t="s">
        <v>51</v>
      </c>
      <c r="C42" s="20" t="s">
        <v>48</v>
      </c>
      <c r="D42" s="57" t="s">
        <v>372</v>
      </c>
      <c r="E42" s="17">
        <v>5000</v>
      </c>
      <c r="F42" s="75">
        <f t="shared" si="5"/>
        <v>663.61</v>
      </c>
      <c r="G42" s="76">
        <v>663.61</v>
      </c>
      <c r="H42" s="76">
        <f t="shared" si="2"/>
        <v>0</v>
      </c>
      <c r="I42" s="75">
        <v>663.61</v>
      </c>
      <c r="J42" s="104">
        <v>0</v>
      </c>
    </row>
    <row r="43" spans="1:10" x14ac:dyDescent="0.3">
      <c r="A43" s="19" t="s">
        <v>175</v>
      </c>
      <c r="B43" s="20" t="s">
        <v>51</v>
      </c>
      <c r="C43" s="20" t="s">
        <v>48</v>
      </c>
      <c r="D43" s="57" t="s">
        <v>234</v>
      </c>
      <c r="E43" s="74">
        <v>5000</v>
      </c>
      <c r="F43" s="75">
        <f t="shared" si="5"/>
        <v>663.61</v>
      </c>
      <c r="G43" s="76">
        <v>663.61</v>
      </c>
      <c r="H43" s="76">
        <f t="shared" si="2"/>
        <v>0</v>
      </c>
      <c r="I43" s="75">
        <v>663.61</v>
      </c>
      <c r="J43" s="104">
        <v>0</v>
      </c>
    </row>
    <row r="44" spans="1:10" ht="27" x14ac:dyDescent="0.3">
      <c r="A44" s="19" t="s">
        <v>176</v>
      </c>
      <c r="B44" s="20" t="s">
        <v>51</v>
      </c>
      <c r="C44" s="20" t="s">
        <v>48</v>
      </c>
      <c r="D44" s="57" t="s">
        <v>235</v>
      </c>
      <c r="E44" s="74">
        <v>3000</v>
      </c>
      <c r="F44" s="75">
        <f t="shared" si="5"/>
        <v>398.17</v>
      </c>
      <c r="G44" s="76">
        <v>398.17</v>
      </c>
      <c r="H44" s="76">
        <f t="shared" si="2"/>
        <v>0</v>
      </c>
      <c r="I44" s="75">
        <v>398.17</v>
      </c>
      <c r="J44" s="104">
        <v>0</v>
      </c>
    </row>
    <row r="45" spans="1:10" ht="27" x14ac:dyDescent="0.3">
      <c r="A45" s="19" t="s">
        <v>180</v>
      </c>
      <c r="B45" s="20" t="s">
        <v>51</v>
      </c>
      <c r="C45" s="20" t="s">
        <v>48</v>
      </c>
      <c r="D45" s="83" t="s">
        <v>240</v>
      </c>
      <c r="E45" s="74">
        <v>5000</v>
      </c>
      <c r="F45" s="75">
        <f t="shared" si="5"/>
        <v>663.61</v>
      </c>
      <c r="G45" s="76">
        <v>663.61</v>
      </c>
      <c r="H45" s="76">
        <f t="shared" si="2"/>
        <v>0</v>
      </c>
      <c r="I45" s="75">
        <v>663.61</v>
      </c>
      <c r="J45" s="104">
        <v>0</v>
      </c>
    </row>
    <row r="46" spans="1:10" x14ac:dyDescent="0.3">
      <c r="A46" s="19" t="s">
        <v>177</v>
      </c>
      <c r="B46" s="20" t="s">
        <v>51</v>
      </c>
      <c r="C46" s="20" t="s">
        <v>48</v>
      </c>
      <c r="D46" s="57" t="s">
        <v>236</v>
      </c>
      <c r="E46" s="74">
        <v>5000</v>
      </c>
      <c r="F46" s="75">
        <f t="shared" si="5"/>
        <v>663.61</v>
      </c>
      <c r="G46" s="76">
        <v>663.61</v>
      </c>
      <c r="H46" s="76">
        <f t="shared" si="2"/>
        <v>0</v>
      </c>
      <c r="I46" s="75">
        <v>663.61</v>
      </c>
      <c r="J46" s="104">
        <v>0</v>
      </c>
    </row>
    <row r="47" spans="1:10" x14ac:dyDescent="0.3">
      <c r="A47" s="19" t="s">
        <v>178</v>
      </c>
      <c r="B47" s="20" t="s">
        <v>51</v>
      </c>
      <c r="C47" s="20" t="s">
        <v>48</v>
      </c>
      <c r="D47" s="57" t="s">
        <v>237</v>
      </c>
      <c r="E47" s="74">
        <v>10000</v>
      </c>
      <c r="F47" s="75">
        <f t="shared" ref="F47:F74" si="6">ROUND(E47/7.5345,2)</f>
        <v>1327.23</v>
      </c>
      <c r="G47" s="76">
        <v>1327.23</v>
      </c>
      <c r="H47" s="76">
        <f t="shared" si="2"/>
        <v>0</v>
      </c>
      <c r="I47" s="75">
        <v>1327.23</v>
      </c>
      <c r="J47" s="104">
        <v>0</v>
      </c>
    </row>
    <row r="48" spans="1:10" ht="27" x14ac:dyDescent="0.3">
      <c r="A48" s="19" t="s">
        <v>178</v>
      </c>
      <c r="B48" s="20" t="s">
        <v>51</v>
      </c>
      <c r="C48" s="20" t="s">
        <v>48</v>
      </c>
      <c r="D48" s="57" t="s">
        <v>238</v>
      </c>
      <c r="E48" s="23">
        <v>50000</v>
      </c>
      <c r="F48" s="75">
        <f t="shared" si="6"/>
        <v>6636.14</v>
      </c>
      <c r="G48" s="76">
        <v>7236.14</v>
      </c>
      <c r="H48" s="76">
        <f t="shared" si="2"/>
        <v>600</v>
      </c>
      <c r="I48" s="75">
        <v>10000</v>
      </c>
      <c r="J48" s="104">
        <f>+I48-F48</f>
        <v>3363.8599999999997</v>
      </c>
    </row>
    <row r="49" spans="1:10" x14ac:dyDescent="0.3">
      <c r="A49" s="84" t="s">
        <v>178</v>
      </c>
      <c r="B49" s="20" t="s">
        <v>51</v>
      </c>
      <c r="C49" s="20" t="s">
        <v>48</v>
      </c>
      <c r="D49" s="21" t="s">
        <v>373</v>
      </c>
      <c r="E49" s="23">
        <v>20000</v>
      </c>
      <c r="F49" s="75">
        <f t="shared" si="6"/>
        <v>2654.46</v>
      </c>
      <c r="G49" s="76">
        <v>2054.46</v>
      </c>
      <c r="H49" s="76">
        <f t="shared" si="2"/>
        <v>-600</v>
      </c>
      <c r="I49" s="75">
        <v>2654.46</v>
      </c>
      <c r="J49" s="104">
        <v>0</v>
      </c>
    </row>
    <row r="50" spans="1:10" x14ac:dyDescent="0.3">
      <c r="A50" s="84" t="s">
        <v>378</v>
      </c>
      <c r="B50" s="20" t="s">
        <v>51</v>
      </c>
      <c r="C50" s="20" t="s">
        <v>48</v>
      </c>
      <c r="D50" s="21" t="s">
        <v>374</v>
      </c>
      <c r="E50" s="23">
        <v>2000</v>
      </c>
      <c r="F50" s="75">
        <f t="shared" si="6"/>
        <v>265.45</v>
      </c>
      <c r="G50" s="76">
        <v>265.45</v>
      </c>
      <c r="H50" s="76">
        <f t="shared" si="2"/>
        <v>0</v>
      </c>
      <c r="I50" s="75">
        <v>265.45</v>
      </c>
      <c r="J50" s="104">
        <v>0</v>
      </c>
    </row>
    <row r="51" spans="1:10" ht="27" x14ac:dyDescent="0.3">
      <c r="A51" s="82" t="s">
        <v>179</v>
      </c>
      <c r="B51" s="20" t="s">
        <v>51</v>
      </c>
      <c r="C51" s="20" t="s">
        <v>48</v>
      </c>
      <c r="D51" s="83" t="s">
        <v>239</v>
      </c>
      <c r="E51" s="68">
        <v>1000</v>
      </c>
      <c r="F51" s="75">
        <f t="shared" si="6"/>
        <v>132.72</v>
      </c>
      <c r="G51" s="76">
        <v>132.72</v>
      </c>
      <c r="H51" s="76">
        <f t="shared" si="2"/>
        <v>0</v>
      </c>
      <c r="I51" s="75">
        <v>132.72</v>
      </c>
      <c r="J51" s="104">
        <v>0</v>
      </c>
    </row>
    <row r="52" spans="1:10" x14ac:dyDescent="0.3">
      <c r="A52" s="19" t="s">
        <v>181</v>
      </c>
      <c r="B52" s="20" t="s">
        <v>51</v>
      </c>
      <c r="C52" s="20" t="s">
        <v>48</v>
      </c>
      <c r="D52" s="57" t="s">
        <v>241</v>
      </c>
      <c r="E52" s="74">
        <v>40000</v>
      </c>
      <c r="F52" s="75">
        <f t="shared" si="6"/>
        <v>5308.91</v>
      </c>
      <c r="G52" s="76">
        <v>5308.91</v>
      </c>
      <c r="H52" s="76">
        <f t="shared" si="2"/>
        <v>0</v>
      </c>
      <c r="I52" s="75">
        <v>5308.91</v>
      </c>
      <c r="J52" s="104">
        <v>0</v>
      </c>
    </row>
    <row r="53" spans="1:10" x14ac:dyDescent="0.3">
      <c r="A53" s="19" t="s">
        <v>149</v>
      </c>
      <c r="B53" s="20" t="s">
        <v>51</v>
      </c>
      <c r="C53" s="20" t="s">
        <v>48</v>
      </c>
      <c r="D53" s="57" t="s">
        <v>207</v>
      </c>
      <c r="E53" s="17">
        <v>10000</v>
      </c>
      <c r="F53" s="75">
        <f t="shared" si="6"/>
        <v>1327.23</v>
      </c>
      <c r="G53" s="76">
        <v>1327.23</v>
      </c>
      <c r="H53" s="76">
        <f t="shared" si="2"/>
        <v>0</v>
      </c>
      <c r="I53" s="75">
        <v>1327.23</v>
      </c>
      <c r="J53" s="104">
        <v>0</v>
      </c>
    </row>
    <row r="54" spans="1:10" x14ac:dyDescent="0.3">
      <c r="A54" s="19" t="s">
        <v>149</v>
      </c>
      <c r="B54" s="20" t="s">
        <v>51</v>
      </c>
      <c r="C54" s="20" t="s">
        <v>48</v>
      </c>
      <c r="D54" s="57" t="s">
        <v>208</v>
      </c>
      <c r="E54" s="74">
        <v>20000</v>
      </c>
      <c r="F54" s="75">
        <f t="shared" si="6"/>
        <v>2654.46</v>
      </c>
      <c r="G54" s="76">
        <v>2654.46</v>
      </c>
      <c r="H54" s="76">
        <f t="shared" si="2"/>
        <v>0</v>
      </c>
      <c r="I54" s="75">
        <v>2654.46</v>
      </c>
      <c r="J54" s="104">
        <v>0</v>
      </c>
    </row>
    <row r="55" spans="1:10" x14ac:dyDescent="0.3">
      <c r="A55" s="19" t="s">
        <v>149</v>
      </c>
      <c r="B55" s="20" t="s">
        <v>51</v>
      </c>
      <c r="C55" s="20" t="s">
        <v>48</v>
      </c>
      <c r="D55" s="83" t="s">
        <v>419</v>
      </c>
      <c r="E55" s="23">
        <v>20000</v>
      </c>
      <c r="F55" s="75">
        <f t="shared" si="6"/>
        <v>2654.46</v>
      </c>
      <c r="G55" s="76">
        <v>2654.46</v>
      </c>
      <c r="H55" s="76">
        <f t="shared" si="2"/>
        <v>0</v>
      </c>
      <c r="I55" s="75">
        <v>2654.46</v>
      </c>
      <c r="J55" s="104">
        <v>0</v>
      </c>
    </row>
    <row r="56" spans="1:10" x14ac:dyDescent="0.3">
      <c r="A56" s="19" t="s">
        <v>149</v>
      </c>
      <c r="B56" s="20" t="s">
        <v>51</v>
      </c>
      <c r="C56" s="20" t="s">
        <v>48</v>
      </c>
      <c r="D56" s="83" t="s">
        <v>247</v>
      </c>
      <c r="E56" s="23">
        <v>5000</v>
      </c>
      <c r="F56" s="75">
        <f t="shared" si="6"/>
        <v>663.61</v>
      </c>
      <c r="G56" s="76">
        <v>663.61</v>
      </c>
      <c r="H56" s="76">
        <f t="shared" si="2"/>
        <v>0</v>
      </c>
      <c r="I56" s="75">
        <v>663.61</v>
      </c>
      <c r="J56" s="104">
        <v>0</v>
      </c>
    </row>
    <row r="57" spans="1:10" x14ac:dyDescent="0.3">
      <c r="A57" s="19" t="s">
        <v>182</v>
      </c>
      <c r="B57" s="20" t="s">
        <v>51</v>
      </c>
      <c r="C57" s="20" t="s">
        <v>48</v>
      </c>
      <c r="D57" s="57" t="s">
        <v>242</v>
      </c>
      <c r="E57" s="74">
        <v>2000</v>
      </c>
      <c r="F57" s="75">
        <f t="shared" si="6"/>
        <v>265.45</v>
      </c>
      <c r="G57" s="76">
        <v>265.45</v>
      </c>
      <c r="H57" s="76">
        <f t="shared" si="2"/>
        <v>0</v>
      </c>
      <c r="I57" s="75">
        <v>265.45</v>
      </c>
      <c r="J57" s="104">
        <v>0</v>
      </c>
    </row>
    <row r="58" spans="1:10" x14ac:dyDescent="0.3">
      <c r="A58" s="19" t="s">
        <v>194</v>
      </c>
      <c r="B58" s="20" t="s">
        <v>51</v>
      </c>
      <c r="C58" s="20" t="s">
        <v>48</v>
      </c>
      <c r="D58" s="57" t="s">
        <v>255</v>
      </c>
      <c r="E58" s="17">
        <v>20000</v>
      </c>
      <c r="F58" s="75">
        <f t="shared" si="6"/>
        <v>2654.46</v>
      </c>
      <c r="G58" s="76">
        <v>2654.46</v>
      </c>
      <c r="H58" s="76">
        <f t="shared" si="2"/>
        <v>0</v>
      </c>
      <c r="I58" s="75">
        <v>2654.46</v>
      </c>
      <c r="J58" s="104">
        <v>0</v>
      </c>
    </row>
    <row r="59" spans="1:10" x14ac:dyDescent="0.3">
      <c r="A59" s="19" t="s">
        <v>184</v>
      </c>
      <c r="B59" s="20" t="s">
        <v>51</v>
      </c>
      <c r="C59" s="20" t="s">
        <v>48</v>
      </c>
      <c r="D59" s="57" t="s">
        <v>244</v>
      </c>
      <c r="E59" s="74">
        <v>30000</v>
      </c>
      <c r="F59" s="75">
        <f t="shared" si="6"/>
        <v>3981.68</v>
      </c>
      <c r="G59" s="76">
        <v>3981.68</v>
      </c>
      <c r="H59" s="76">
        <f t="shared" si="2"/>
        <v>0</v>
      </c>
      <c r="I59" s="75">
        <v>3981.68</v>
      </c>
      <c r="J59" s="104">
        <v>0</v>
      </c>
    </row>
    <row r="60" spans="1:10" x14ac:dyDescent="0.3">
      <c r="A60" s="19" t="s">
        <v>184</v>
      </c>
      <c r="B60" s="20" t="s">
        <v>51</v>
      </c>
      <c r="C60" s="20" t="s">
        <v>48</v>
      </c>
      <c r="D60" s="57" t="s">
        <v>245</v>
      </c>
      <c r="E60" s="17">
        <v>10000</v>
      </c>
      <c r="F60" s="75">
        <f t="shared" si="6"/>
        <v>1327.23</v>
      </c>
      <c r="G60" s="76">
        <v>1327.23</v>
      </c>
      <c r="H60" s="76">
        <f t="shared" si="2"/>
        <v>0</v>
      </c>
      <c r="I60" s="75">
        <v>1327.23</v>
      </c>
      <c r="J60" s="104">
        <v>0</v>
      </c>
    </row>
    <row r="61" spans="1:10" x14ac:dyDescent="0.3">
      <c r="A61" s="19" t="s">
        <v>185</v>
      </c>
      <c r="B61" s="20" t="s">
        <v>51</v>
      </c>
      <c r="C61" s="20" t="s">
        <v>48</v>
      </c>
      <c r="D61" s="57" t="s">
        <v>375</v>
      </c>
      <c r="E61" s="74">
        <v>5000</v>
      </c>
      <c r="F61" s="75">
        <f t="shared" si="6"/>
        <v>663.61</v>
      </c>
      <c r="G61" s="76">
        <v>663.61</v>
      </c>
      <c r="H61" s="76">
        <f t="shared" si="2"/>
        <v>0</v>
      </c>
      <c r="I61" s="75">
        <v>663.61</v>
      </c>
      <c r="J61" s="104">
        <v>0</v>
      </c>
    </row>
    <row r="62" spans="1:10" x14ac:dyDescent="0.3">
      <c r="A62" s="19" t="s">
        <v>190</v>
      </c>
      <c r="B62" s="20" t="s">
        <v>51</v>
      </c>
      <c r="C62" s="20" t="s">
        <v>48</v>
      </c>
      <c r="D62" s="83" t="s">
        <v>251</v>
      </c>
      <c r="E62" s="23">
        <v>10000</v>
      </c>
      <c r="F62" s="75">
        <f t="shared" si="6"/>
        <v>1327.23</v>
      </c>
      <c r="G62" s="76">
        <v>1327.23</v>
      </c>
      <c r="H62" s="76">
        <f t="shared" si="2"/>
        <v>0</v>
      </c>
      <c r="I62" s="75">
        <v>1327.23</v>
      </c>
      <c r="J62" s="104">
        <v>0</v>
      </c>
    </row>
    <row r="63" spans="1:10" x14ac:dyDescent="0.3">
      <c r="A63" s="19" t="s">
        <v>190</v>
      </c>
      <c r="B63" s="20" t="s">
        <v>51</v>
      </c>
      <c r="C63" s="20" t="s">
        <v>48</v>
      </c>
      <c r="D63" s="83" t="s">
        <v>376</v>
      </c>
      <c r="E63" s="23">
        <v>20000</v>
      </c>
      <c r="F63" s="75">
        <f t="shared" si="6"/>
        <v>2654.46</v>
      </c>
      <c r="G63" s="76">
        <v>2654.46</v>
      </c>
      <c r="H63" s="76">
        <f t="shared" si="2"/>
        <v>0</v>
      </c>
      <c r="I63" s="75">
        <v>2654.46</v>
      </c>
      <c r="J63" s="104">
        <v>0</v>
      </c>
    </row>
    <row r="64" spans="1:10" x14ac:dyDescent="0.3">
      <c r="A64" s="19" t="s">
        <v>192</v>
      </c>
      <c r="B64" s="20" t="s">
        <v>51</v>
      </c>
      <c r="C64" s="20" t="s">
        <v>48</v>
      </c>
      <c r="D64" s="83" t="s">
        <v>252</v>
      </c>
      <c r="E64" s="23">
        <v>80000</v>
      </c>
      <c r="F64" s="75">
        <f t="shared" si="6"/>
        <v>10617.82</v>
      </c>
      <c r="G64" s="76">
        <v>10617.82</v>
      </c>
      <c r="H64" s="76">
        <f t="shared" si="2"/>
        <v>0</v>
      </c>
      <c r="I64" s="75">
        <v>15000</v>
      </c>
      <c r="J64" s="104">
        <f>+I64-F64</f>
        <v>4382.18</v>
      </c>
    </row>
    <row r="65" spans="1:10" x14ac:dyDescent="0.3">
      <c r="A65" s="19" t="s">
        <v>192</v>
      </c>
      <c r="B65" s="20" t="s">
        <v>51</v>
      </c>
      <c r="C65" s="20" t="s">
        <v>48</v>
      </c>
      <c r="D65" s="83" t="s">
        <v>253</v>
      </c>
      <c r="E65" s="23">
        <v>30000</v>
      </c>
      <c r="F65" s="75">
        <f t="shared" si="6"/>
        <v>3981.68</v>
      </c>
      <c r="G65" s="76">
        <v>3981.68</v>
      </c>
      <c r="H65" s="76">
        <f t="shared" si="2"/>
        <v>0</v>
      </c>
      <c r="I65" s="75">
        <v>3981.68</v>
      </c>
      <c r="J65" s="104">
        <v>0</v>
      </c>
    </row>
    <row r="66" spans="1:10" x14ac:dyDescent="0.3">
      <c r="A66" s="19" t="s">
        <v>193</v>
      </c>
      <c r="B66" s="20" t="s">
        <v>51</v>
      </c>
      <c r="C66" s="20" t="s">
        <v>48</v>
      </c>
      <c r="D66" s="83" t="s">
        <v>254</v>
      </c>
      <c r="E66" s="23">
        <v>40000</v>
      </c>
      <c r="F66" s="75">
        <f t="shared" si="6"/>
        <v>5308.91</v>
      </c>
      <c r="G66" s="76">
        <v>5308.91</v>
      </c>
      <c r="H66" s="76">
        <f t="shared" si="2"/>
        <v>0</v>
      </c>
      <c r="I66" s="75">
        <v>5308.91</v>
      </c>
      <c r="J66" s="104">
        <v>0</v>
      </c>
    </row>
    <row r="67" spans="1:10" x14ac:dyDescent="0.3">
      <c r="A67" s="19" t="s">
        <v>195</v>
      </c>
      <c r="B67" s="20" t="s">
        <v>51</v>
      </c>
      <c r="C67" s="20" t="s">
        <v>48</v>
      </c>
      <c r="D67" s="21" t="s">
        <v>256</v>
      </c>
      <c r="E67" s="17">
        <v>20000</v>
      </c>
      <c r="F67" s="75">
        <f t="shared" si="6"/>
        <v>2654.46</v>
      </c>
      <c r="G67" s="76"/>
      <c r="H67" s="76">
        <f t="shared" si="2"/>
        <v>-2654.46</v>
      </c>
      <c r="I67" s="75">
        <v>2654.46</v>
      </c>
      <c r="J67" s="104">
        <v>0</v>
      </c>
    </row>
    <row r="68" spans="1:10" ht="27" x14ac:dyDescent="0.3">
      <c r="A68" s="19" t="s">
        <v>195</v>
      </c>
      <c r="B68" s="20" t="s">
        <v>51</v>
      </c>
      <c r="C68" s="20" t="s">
        <v>48</v>
      </c>
      <c r="D68" s="21" t="s">
        <v>257</v>
      </c>
      <c r="E68" s="17">
        <v>10000</v>
      </c>
      <c r="F68" s="75">
        <f t="shared" si="6"/>
        <v>1327.23</v>
      </c>
      <c r="G68" s="76">
        <v>1216.23</v>
      </c>
      <c r="H68" s="76">
        <f t="shared" si="2"/>
        <v>-111</v>
      </c>
      <c r="I68" s="75">
        <v>1327.23</v>
      </c>
      <c r="J68" s="104">
        <v>0</v>
      </c>
    </row>
    <row r="69" spans="1:10" ht="27" x14ac:dyDescent="0.3">
      <c r="A69" s="19" t="s">
        <v>183</v>
      </c>
      <c r="B69" s="20" t="s">
        <v>51</v>
      </c>
      <c r="C69" s="20" t="s">
        <v>48</v>
      </c>
      <c r="D69" s="57" t="s">
        <v>243</v>
      </c>
      <c r="E69" s="74">
        <v>20000</v>
      </c>
      <c r="F69" s="75">
        <f t="shared" si="6"/>
        <v>2654.46</v>
      </c>
      <c r="G69" s="76">
        <v>2654.46</v>
      </c>
      <c r="H69" s="76">
        <f t="shared" si="2"/>
        <v>0</v>
      </c>
      <c r="I69" s="75">
        <v>2654.46</v>
      </c>
      <c r="J69" s="104">
        <v>0</v>
      </c>
    </row>
    <row r="70" spans="1:10" x14ac:dyDescent="0.3">
      <c r="A70" s="19" t="s">
        <v>196</v>
      </c>
      <c r="B70" s="20" t="s">
        <v>51</v>
      </c>
      <c r="C70" s="20" t="s">
        <v>48</v>
      </c>
      <c r="D70" s="57" t="s">
        <v>258</v>
      </c>
      <c r="E70" s="17">
        <v>5000</v>
      </c>
      <c r="F70" s="75">
        <f t="shared" si="6"/>
        <v>663.61</v>
      </c>
      <c r="G70" s="76">
        <v>663.61</v>
      </c>
      <c r="H70" s="76">
        <f t="shared" si="2"/>
        <v>0</v>
      </c>
      <c r="I70" s="75">
        <v>663.61</v>
      </c>
      <c r="J70" s="104">
        <v>0</v>
      </c>
    </row>
    <row r="71" spans="1:10" x14ac:dyDescent="0.3">
      <c r="A71" s="82" t="s">
        <v>197</v>
      </c>
      <c r="B71" s="20" t="s">
        <v>51</v>
      </c>
      <c r="C71" s="20" t="s">
        <v>48</v>
      </c>
      <c r="D71" s="83" t="s">
        <v>259</v>
      </c>
      <c r="E71" s="68">
        <v>70000</v>
      </c>
      <c r="F71" s="75">
        <f t="shared" si="6"/>
        <v>9290.6</v>
      </c>
      <c r="G71" s="76">
        <v>21620</v>
      </c>
      <c r="H71" s="76">
        <f t="shared" si="2"/>
        <v>12329.4</v>
      </c>
      <c r="I71" s="75">
        <v>9290.6</v>
      </c>
      <c r="J71" s="104">
        <v>0</v>
      </c>
    </row>
    <row r="72" spans="1:10" ht="27" x14ac:dyDescent="0.3">
      <c r="A72" s="19" t="s">
        <v>197</v>
      </c>
      <c r="B72" s="20" t="s">
        <v>51</v>
      </c>
      <c r="C72" s="20" t="s">
        <v>48</v>
      </c>
      <c r="D72" s="57" t="s">
        <v>263</v>
      </c>
      <c r="E72" s="17">
        <v>5000</v>
      </c>
      <c r="F72" s="75">
        <f t="shared" si="6"/>
        <v>663.61</v>
      </c>
      <c r="G72" s="76">
        <v>663.61</v>
      </c>
      <c r="H72" s="76">
        <f t="shared" ref="H72:H87" si="7">+G72-F72</f>
        <v>0</v>
      </c>
      <c r="I72" s="75">
        <v>663.61</v>
      </c>
      <c r="J72" s="104">
        <v>0</v>
      </c>
    </row>
    <row r="73" spans="1:10" x14ac:dyDescent="0.3">
      <c r="A73" s="19" t="s">
        <v>197</v>
      </c>
      <c r="B73" s="20" t="s">
        <v>51</v>
      </c>
      <c r="C73" s="20" t="s">
        <v>48</v>
      </c>
      <c r="D73" s="21" t="s">
        <v>264</v>
      </c>
      <c r="E73" s="17">
        <v>10000</v>
      </c>
      <c r="F73" s="75">
        <f t="shared" si="6"/>
        <v>1327.23</v>
      </c>
      <c r="G73" s="76">
        <v>1327.23</v>
      </c>
      <c r="H73" s="76">
        <f t="shared" si="7"/>
        <v>0</v>
      </c>
      <c r="I73" s="75">
        <v>1327.23</v>
      </c>
      <c r="J73" s="104">
        <v>0</v>
      </c>
    </row>
    <row r="74" spans="1:10" ht="27" x14ac:dyDescent="0.3">
      <c r="A74" s="19" t="s">
        <v>199</v>
      </c>
      <c r="B74" s="20" t="s">
        <v>51</v>
      </c>
      <c r="C74" s="20" t="s">
        <v>48</v>
      </c>
      <c r="D74" s="57" t="s">
        <v>455</v>
      </c>
      <c r="E74" s="17">
        <v>60000</v>
      </c>
      <c r="F74" s="75">
        <f t="shared" si="6"/>
        <v>7963.37</v>
      </c>
      <c r="G74" s="76">
        <v>7963.37</v>
      </c>
      <c r="H74" s="76">
        <f t="shared" si="7"/>
        <v>0</v>
      </c>
      <c r="I74" s="75">
        <v>7963.37</v>
      </c>
      <c r="J74" s="104">
        <v>0</v>
      </c>
    </row>
    <row r="75" spans="1:10" x14ac:dyDescent="0.3">
      <c r="A75" s="86" t="s">
        <v>198</v>
      </c>
      <c r="B75" s="20" t="s">
        <v>51</v>
      </c>
      <c r="C75" s="20" t="s">
        <v>48</v>
      </c>
      <c r="D75" s="83" t="s">
        <v>260</v>
      </c>
      <c r="E75" s="68">
        <v>6000</v>
      </c>
      <c r="F75" s="75">
        <f t="shared" ref="F75:F87" si="8">ROUND(E75/7.5345,2)</f>
        <v>796.34</v>
      </c>
      <c r="G75" s="76">
        <v>796.34</v>
      </c>
      <c r="H75" s="76">
        <f t="shared" si="7"/>
        <v>0</v>
      </c>
      <c r="I75" s="75">
        <v>796.34</v>
      </c>
      <c r="J75" s="104">
        <v>0</v>
      </c>
    </row>
    <row r="76" spans="1:10" x14ac:dyDescent="0.3">
      <c r="A76" s="86" t="s">
        <v>422</v>
      </c>
      <c r="B76" s="20" t="s">
        <v>51</v>
      </c>
      <c r="C76" s="20" t="s">
        <v>48</v>
      </c>
      <c r="D76" s="83" t="s">
        <v>459</v>
      </c>
      <c r="E76" s="68">
        <v>530000</v>
      </c>
      <c r="F76" s="75">
        <f t="shared" si="8"/>
        <v>70343.09</v>
      </c>
      <c r="G76" s="76">
        <v>62114.27</v>
      </c>
      <c r="H76" s="76">
        <f t="shared" si="7"/>
        <v>-8228.82</v>
      </c>
      <c r="I76" s="75">
        <v>0</v>
      </c>
      <c r="J76" s="104">
        <f>+I76-F76</f>
        <v>-70343.09</v>
      </c>
    </row>
    <row r="77" spans="1:10" ht="27" x14ac:dyDescent="0.3">
      <c r="A77" s="86" t="s">
        <v>422</v>
      </c>
      <c r="B77" s="87" t="s">
        <v>51</v>
      </c>
      <c r="C77" s="87" t="s">
        <v>48</v>
      </c>
      <c r="D77" s="83" t="s">
        <v>423</v>
      </c>
      <c r="E77" s="68">
        <v>70000</v>
      </c>
      <c r="F77" s="92">
        <f t="shared" si="8"/>
        <v>9290.6</v>
      </c>
      <c r="G77" s="76"/>
      <c r="H77" s="76">
        <f t="shared" si="7"/>
        <v>-9290.6</v>
      </c>
      <c r="I77" s="92">
        <v>0</v>
      </c>
      <c r="J77" s="104">
        <f>+I77-F77</f>
        <v>-9290.6</v>
      </c>
    </row>
    <row r="78" spans="1:10" x14ac:dyDescent="0.3">
      <c r="A78" s="19" t="s">
        <v>200</v>
      </c>
      <c r="B78" s="20" t="s">
        <v>51</v>
      </c>
      <c r="C78" s="20" t="s">
        <v>48</v>
      </c>
      <c r="D78" s="21" t="s">
        <v>261</v>
      </c>
      <c r="E78" s="17">
        <v>2000</v>
      </c>
      <c r="F78" s="75">
        <f t="shared" si="8"/>
        <v>265.45</v>
      </c>
      <c r="G78" s="76">
        <v>200.45</v>
      </c>
      <c r="H78" s="76">
        <f t="shared" si="7"/>
        <v>-65</v>
      </c>
      <c r="I78" s="75">
        <v>265.45</v>
      </c>
      <c r="J78" s="104">
        <v>0</v>
      </c>
    </row>
    <row r="79" spans="1:10" x14ac:dyDescent="0.3">
      <c r="A79" s="19" t="s">
        <v>203</v>
      </c>
      <c r="B79" s="20" t="s">
        <v>51</v>
      </c>
      <c r="C79" s="20" t="s">
        <v>48</v>
      </c>
      <c r="D79" s="57" t="s">
        <v>265</v>
      </c>
      <c r="E79" s="23">
        <v>6000</v>
      </c>
      <c r="F79" s="75">
        <f t="shared" si="8"/>
        <v>796.34</v>
      </c>
      <c r="G79" s="76">
        <v>796.34</v>
      </c>
      <c r="H79" s="76">
        <f t="shared" si="7"/>
        <v>0</v>
      </c>
      <c r="I79" s="75">
        <v>796.34</v>
      </c>
      <c r="J79" s="104">
        <v>0</v>
      </c>
    </row>
    <row r="80" spans="1:10" x14ac:dyDescent="0.3">
      <c r="A80" s="84" t="s">
        <v>204</v>
      </c>
      <c r="B80" s="20" t="s">
        <v>51</v>
      </c>
      <c r="C80" s="20" t="s">
        <v>48</v>
      </c>
      <c r="D80" s="21" t="s">
        <v>266</v>
      </c>
      <c r="E80" s="17">
        <v>15000</v>
      </c>
      <c r="F80" s="75">
        <f t="shared" si="8"/>
        <v>1990.84</v>
      </c>
      <c r="G80" s="76">
        <v>1990.84</v>
      </c>
      <c r="H80" s="76">
        <f t="shared" si="7"/>
        <v>0</v>
      </c>
      <c r="I80" s="75">
        <v>1990.84</v>
      </c>
      <c r="J80" s="104">
        <v>0</v>
      </c>
    </row>
    <row r="81" spans="1:10" x14ac:dyDescent="0.3">
      <c r="A81" s="84" t="s">
        <v>379</v>
      </c>
      <c r="B81" s="20" t="s">
        <v>51</v>
      </c>
      <c r="C81" s="20" t="s">
        <v>48</v>
      </c>
      <c r="D81" s="21" t="s">
        <v>377</v>
      </c>
      <c r="E81" s="17">
        <v>4000</v>
      </c>
      <c r="F81" s="75">
        <f t="shared" si="8"/>
        <v>530.89</v>
      </c>
      <c r="G81" s="76">
        <v>530.89</v>
      </c>
      <c r="H81" s="76">
        <f t="shared" si="7"/>
        <v>0</v>
      </c>
      <c r="I81" s="75">
        <v>530.89</v>
      </c>
      <c r="J81" s="104">
        <v>0</v>
      </c>
    </row>
    <row r="82" spans="1:10" x14ac:dyDescent="0.3">
      <c r="A82" s="19" t="s">
        <v>201</v>
      </c>
      <c r="B82" s="20" t="s">
        <v>51</v>
      </c>
      <c r="C82" s="20" t="s">
        <v>48</v>
      </c>
      <c r="D82" s="173" t="s">
        <v>262</v>
      </c>
      <c r="E82" s="174">
        <v>130000</v>
      </c>
      <c r="F82" s="175">
        <f t="shared" si="8"/>
        <v>17253.97</v>
      </c>
      <c r="G82" s="176">
        <v>17253.97</v>
      </c>
      <c r="H82" s="176">
        <f t="shared" si="7"/>
        <v>0</v>
      </c>
      <c r="I82" s="175">
        <v>17253.97</v>
      </c>
      <c r="J82" s="104">
        <v>0</v>
      </c>
    </row>
    <row r="83" spans="1:10" ht="27" x14ac:dyDescent="0.3">
      <c r="A83" s="19" t="s">
        <v>202</v>
      </c>
      <c r="B83" s="20" t="s">
        <v>51</v>
      </c>
      <c r="C83" s="20" t="s">
        <v>48</v>
      </c>
      <c r="D83" s="83" t="s">
        <v>448</v>
      </c>
      <c r="E83" s="23">
        <v>150000</v>
      </c>
      <c r="F83" s="75">
        <f t="shared" si="8"/>
        <v>19908.419999999998</v>
      </c>
      <c r="G83" s="76">
        <v>19908.419999999998</v>
      </c>
      <c r="H83" s="76">
        <f t="shared" si="7"/>
        <v>0</v>
      </c>
      <c r="I83" s="75">
        <v>19908.419999999998</v>
      </c>
      <c r="J83" s="104">
        <v>0</v>
      </c>
    </row>
    <row r="84" spans="1:10" x14ac:dyDescent="0.3">
      <c r="A84" s="19" t="s">
        <v>202</v>
      </c>
      <c r="B84" s="20" t="s">
        <v>51</v>
      </c>
      <c r="C84" s="20" t="s">
        <v>48</v>
      </c>
      <c r="D84" s="83" t="s">
        <v>449</v>
      </c>
      <c r="E84" s="23">
        <v>50000</v>
      </c>
      <c r="F84" s="75">
        <f t="shared" si="8"/>
        <v>6636.14</v>
      </c>
      <c r="G84" s="76">
        <v>6636.14</v>
      </c>
      <c r="H84" s="76">
        <f t="shared" si="7"/>
        <v>0</v>
      </c>
      <c r="I84" s="75">
        <v>6636.14</v>
      </c>
      <c r="J84" s="104">
        <v>0</v>
      </c>
    </row>
    <row r="85" spans="1:10" x14ac:dyDescent="0.3">
      <c r="A85" s="82" t="s">
        <v>166</v>
      </c>
      <c r="B85" s="20" t="s">
        <v>51</v>
      </c>
      <c r="C85" s="20" t="s">
        <v>48</v>
      </c>
      <c r="D85" s="83" t="s">
        <v>225</v>
      </c>
      <c r="E85" s="68">
        <v>5000</v>
      </c>
      <c r="F85" s="75">
        <f t="shared" si="8"/>
        <v>663.61</v>
      </c>
      <c r="G85" s="76">
        <v>663.61</v>
      </c>
      <c r="H85" s="76">
        <f t="shared" si="7"/>
        <v>0</v>
      </c>
      <c r="I85" s="75">
        <v>663.61</v>
      </c>
      <c r="J85" s="104">
        <v>0</v>
      </c>
    </row>
    <row r="86" spans="1:10" ht="27" x14ac:dyDescent="0.3">
      <c r="A86" s="82" t="s">
        <v>168</v>
      </c>
      <c r="B86" s="20" t="s">
        <v>51</v>
      </c>
      <c r="C86" s="20" t="s">
        <v>48</v>
      </c>
      <c r="D86" s="83" t="s">
        <v>228</v>
      </c>
      <c r="E86" s="68">
        <v>2000</v>
      </c>
      <c r="F86" s="75">
        <f>ROUND(E86/7.5345,2)+664</f>
        <v>929.45</v>
      </c>
      <c r="G86" s="76">
        <v>265.45</v>
      </c>
      <c r="H86" s="76">
        <f t="shared" si="7"/>
        <v>-664</v>
      </c>
      <c r="I86" s="75">
        <f>+F86</f>
        <v>929.45</v>
      </c>
      <c r="J86" s="104">
        <v>0</v>
      </c>
    </row>
    <row r="87" spans="1:10" x14ac:dyDescent="0.3">
      <c r="A87" s="88" t="s">
        <v>205</v>
      </c>
      <c r="B87" s="20" t="s">
        <v>51</v>
      </c>
      <c r="C87" s="20" t="s">
        <v>48</v>
      </c>
      <c r="D87" s="57" t="s">
        <v>267</v>
      </c>
      <c r="E87" s="17">
        <v>6000</v>
      </c>
      <c r="F87" s="75">
        <f t="shared" si="8"/>
        <v>796.34</v>
      </c>
      <c r="G87" s="76">
        <v>796.34</v>
      </c>
      <c r="H87" s="76">
        <f t="shared" si="7"/>
        <v>0</v>
      </c>
      <c r="I87" s="75">
        <v>796.34</v>
      </c>
      <c r="J87" s="104">
        <v>0</v>
      </c>
    </row>
    <row r="88" spans="1:10" x14ac:dyDescent="0.3">
      <c r="A88" s="48"/>
      <c r="B88" s="48"/>
      <c r="C88" s="48"/>
      <c r="D88" s="89"/>
      <c r="E88" s="90">
        <f t="shared" ref="E88:J88" si="9">SUM(E7:E87)</f>
        <v>3182000</v>
      </c>
      <c r="F88" s="93">
        <f t="shared" si="9"/>
        <v>422987.98000000004</v>
      </c>
      <c r="G88" s="93">
        <f t="shared" si="9"/>
        <v>414521.85000000003</v>
      </c>
      <c r="H88" s="93">
        <f t="shared" si="9"/>
        <v>-7966.130000000001</v>
      </c>
      <c r="I88" s="93">
        <f t="shared" si="9"/>
        <v>319489.25000000006</v>
      </c>
      <c r="J88" s="93">
        <f t="shared" si="9"/>
        <v>-103498.27</v>
      </c>
    </row>
    <row r="90" spans="1:10" x14ac:dyDescent="0.3">
      <c r="F90" s="91"/>
    </row>
    <row r="91" spans="1:10" x14ac:dyDescent="0.3">
      <c r="F91" s="91"/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5"/>
  <sheetViews>
    <sheetView zoomScale="130" zoomScaleNormal="130" workbookViewId="0">
      <selection activeCell="M12" sqref="M12"/>
    </sheetView>
  </sheetViews>
  <sheetFormatPr defaultColWidth="9.140625" defaultRowHeight="16.5" x14ac:dyDescent="0.3"/>
  <cols>
    <col min="1" max="1" width="11.85546875" style="2" customWidth="1"/>
    <col min="2" max="2" width="7.7109375" style="2" customWidth="1"/>
    <col min="3" max="3" width="7.140625" style="2" bestFit="1" customWidth="1"/>
    <col min="4" max="4" width="40.7109375" style="2" customWidth="1"/>
    <col min="5" max="5" width="12.570312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ht="15" customHeight="1" x14ac:dyDescent="0.3">
      <c r="A3" s="5" t="s">
        <v>269</v>
      </c>
      <c r="B3" s="5"/>
      <c r="C3" s="6"/>
      <c r="D3" s="2" t="s">
        <v>270</v>
      </c>
    </row>
    <row r="6" spans="1:10" ht="39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15" customHeight="1" x14ac:dyDescent="0.3">
      <c r="A7" s="14" t="s">
        <v>271</v>
      </c>
      <c r="B7" s="15" t="s">
        <v>51</v>
      </c>
      <c r="C7" s="15" t="s">
        <v>48</v>
      </c>
      <c r="D7" s="16" t="s">
        <v>277</v>
      </c>
      <c r="E7" s="23">
        <v>50000</v>
      </c>
      <c r="F7" s="75">
        <f t="shared" ref="F7:F12" si="0">ROUND(E7/7.5345,2)</f>
        <v>6636.14</v>
      </c>
      <c r="G7" s="76">
        <v>5136</v>
      </c>
      <c r="H7" s="76">
        <f>+G7-F7</f>
        <v>-1500.1400000000003</v>
      </c>
      <c r="I7" s="104">
        <v>8000</v>
      </c>
      <c r="J7" s="104">
        <f>+I7-F7</f>
        <v>1363.8599999999997</v>
      </c>
    </row>
    <row r="8" spans="1:10" ht="15" customHeight="1" x14ac:dyDescent="0.3">
      <c r="A8" s="14" t="s">
        <v>272</v>
      </c>
      <c r="B8" s="15" t="s">
        <v>51</v>
      </c>
      <c r="C8" s="15" t="s">
        <v>49</v>
      </c>
      <c r="D8" s="16" t="s">
        <v>278</v>
      </c>
      <c r="E8" s="23">
        <v>55000</v>
      </c>
      <c r="F8" s="75">
        <f t="shared" si="0"/>
        <v>7299.75</v>
      </c>
      <c r="G8" s="76">
        <v>8799</v>
      </c>
      <c r="H8" s="76">
        <f t="shared" ref="H8:H12" si="1">+G8-F8</f>
        <v>1499.25</v>
      </c>
      <c r="I8" s="104">
        <v>20000</v>
      </c>
      <c r="J8" s="104">
        <f>+I8-F8</f>
        <v>12700.25</v>
      </c>
    </row>
    <row r="9" spans="1:10" ht="15" customHeight="1" x14ac:dyDescent="0.3">
      <c r="A9" s="14" t="s">
        <v>273</v>
      </c>
      <c r="B9" s="15" t="s">
        <v>51</v>
      </c>
      <c r="C9" s="15" t="s">
        <v>48</v>
      </c>
      <c r="D9" s="16" t="s">
        <v>279</v>
      </c>
      <c r="E9" s="23">
        <v>3000</v>
      </c>
      <c r="F9" s="75">
        <f t="shared" si="0"/>
        <v>398.17</v>
      </c>
      <c r="G9" s="76">
        <v>398.17</v>
      </c>
      <c r="H9" s="76">
        <f t="shared" si="1"/>
        <v>0</v>
      </c>
      <c r="I9" s="104">
        <v>0</v>
      </c>
      <c r="J9" s="104">
        <f>+I9-F9</f>
        <v>-398.17</v>
      </c>
    </row>
    <row r="10" spans="1:10" ht="15" customHeight="1" x14ac:dyDescent="0.3">
      <c r="A10" s="61" t="s">
        <v>275</v>
      </c>
      <c r="B10" s="15" t="s">
        <v>51</v>
      </c>
      <c r="C10" s="15" t="s">
        <v>48</v>
      </c>
      <c r="D10" s="80" t="s">
        <v>281</v>
      </c>
      <c r="E10" s="94">
        <v>12000</v>
      </c>
      <c r="F10" s="75">
        <f t="shared" si="0"/>
        <v>1592.67</v>
      </c>
      <c r="G10" s="76">
        <v>2302</v>
      </c>
      <c r="H10" s="76">
        <f t="shared" si="1"/>
        <v>709.32999999999993</v>
      </c>
      <c r="I10" s="104">
        <v>4600</v>
      </c>
      <c r="J10" s="104">
        <f>+I10-F10</f>
        <v>3007.33</v>
      </c>
    </row>
    <row r="11" spans="1:10" ht="22.5" customHeight="1" x14ac:dyDescent="0.3">
      <c r="A11" s="19" t="s">
        <v>274</v>
      </c>
      <c r="B11" s="15" t="s">
        <v>51</v>
      </c>
      <c r="C11" s="15" t="s">
        <v>48</v>
      </c>
      <c r="D11" s="83" t="s">
        <v>280</v>
      </c>
      <c r="E11" s="23">
        <v>40000</v>
      </c>
      <c r="F11" s="75">
        <f t="shared" si="0"/>
        <v>5308.91</v>
      </c>
      <c r="G11" s="76">
        <v>5308.91</v>
      </c>
      <c r="H11" s="76">
        <f t="shared" si="1"/>
        <v>0</v>
      </c>
      <c r="I11" s="75">
        <v>0</v>
      </c>
      <c r="J11" s="104">
        <f>+-F11</f>
        <v>-5308.91</v>
      </c>
    </row>
    <row r="12" spans="1:10" ht="15" customHeight="1" x14ac:dyDescent="0.3">
      <c r="A12" s="14" t="s">
        <v>371</v>
      </c>
      <c r="B12" s="15" t="s">
        <v>51</v>
      </c>
      <c r="C12" s="15" t="s">
        <v>48</v>
      </c>
      <c r="D12" s="43" t="s">
        <v>276</v>
      </c>
      <c r="E12" s="74">
        <v>10000</v>
      </c>
      <c r="F12" s="75">
        <f t="shared" si="0"/>
        <v>1327.23</v>
      </c>
      <c r="G12" s="76">
        <v>569.23</v>
      </c>
      <c r="H12" s="76">
        <f t="shared" si="1"/>
        <v>-758</v>
      </c>
      <c r="I12" s="104">
        <v>0</v>
      </c>
      <c r="J12" s="104">
        <f>+F12</f>
        <v>1327.23</v>
      </c>
    </row>
    <row r="13" spans="1:10" x14ac:dyDescent="0.3">
      <c r="A13" s="48"/>
      <c r="B13" s="48"/>
      <c r="C13" s="48"/>
      <c r="D13" s="49" t="s">
        <v>52</v>
      </c>
      <c r="E13" s="50">
        <f t="shared" ref="E13:I13" si="2">SUM(E7:E12)</f>
        <v>170000</v>
      </c>
      <c r="F13" s="95">
        <f t="shared" si="2"/>
        <v>22562.87</v>
      </c>
      <c r="G13" s="95">
        <f t="shared" si="2"/>
        <v>22513.309999999998</v>
      </c>
      <c r="H13" s="95">
        <f t="shared" si="2"/>
        <v>-49.5600000000004</v>
      </c>
      <c r="I13" s="95">
        <f t="shared" si="2"/>
        <v>32600</v>
      </c>
      <c r="J13" s="95">
        <f>SUM(J7:J12)</f>
        <v>12691.59</v>
      </c>
    </row>
    <row r="15" spans="1:10" x14ac:dyDescent="0.3">
      <c r="I15" s="150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0"/>
  <sheetViews>
    <sheetView topLeftCell="A3" zoomScale="115" zoomScaleNormal="115" workbookViewId="0">
      <selection activeCell="M17" sqref="M17"/>
    </sheetView>
  </sheetViews>
  <sheetFormatPr defaultColWidth="9.140625" defaultRowHeight="16.5" x14ac:dyDescent="0.3"/>
  <cols>
    <col min="1" max="1" width="11.85546875" style="2" customWidth="1"/>
    <col min="2" max="2" width="7.140625" style="2" customWidth="1"/>
    <col min="3" max="3" width="7.140625" style="2" bestFit="1" customWidth="1"/>
    <col min="4" max="4" width="66.7109375" style="2" customWidth="1"/>
    <col min="5" max="5" width="13.85546875" style="2" hidden="1" customWidth="1"/>
    <col min="6" max="6" width="9.28515625" style="2" customWidth="1"/>
    <col min="7" max="8" width="9.28515625" style="2" hidden="1" customWidth="1"/>
    <col min="9" max="10" width="9.28515625" style="2" customWidth="1"/>
    <col min="11" max="16384" width="9.140625" style="2"/>
  </cols>
  <sheetData>
    <row r="1" spans="1:10" x14ac:dyDescent="0.3">
      <c r="A1" s="157" t="s">
        <v>468</v>
      </c>
      <c r="B1" s="158"/>
      <c r="C1" s="158"/>
      <c r="D1" s="158"/>
      <c r="E1" s="158"/>
      <c r="G1" s="41">
        <v>2023</v>
      </c>
    </row>
    <row r="2" spans="1:10" x14ac:dyDescent="0.3">
      <c r="A2" s="1"/>
      <c r="D2" s="3"/>
      <c r="E2" s="4"/>
    </row>
    <row r="3" spans="1:10" x14ac:dyDescent="0.3">
      <c r="A3" s="5" t="s">
        <v>293</v>
      </c>
      <c r="B3" s="5"/>
      <c r="C3" s="6"/>
      <c r="D3" s="2" t="s">
        <v>292</v>
      </c>
      <c r="E3" s="165"/>
      <c r="F3" s="166"/>
    </row>
    <row r="6" spans="1:10" ht="39" customHeight="1" x14ac:dyDescent="0.3">
      <c r="A6" s="7" t="s">
        <v>0</v>
      </c>
      <c r="B6" s="8" t="s">
        <v>1</v>
      </c>
      <c r="C6" s="8" t="s">
        <v>2</v>
      </c>
      <c r="D6" s="7" t="s">
        <v>3</v>
      </c>
      <c r="E6" s="8" t="s">
        <v>4</v>
      </c>
      <c r="F6" s="9" t="s">
        <v>469</v>
      </c>
      <c r="G6" s="8" t="s">
        <v>461</v>
      </c>
      <c r="H6" s="8" t="s">
        <v>460</v>
      </c>
      <c r="I6" s="10" t="s">
        <v>465</v>
      </c>
      <c r="J6" s="11" t="s">
        <v>460</v>
      </c>
    </row>
    <row r="7" spans="1:10" ht="27" x14ac:dyDescent="0.3">
      <c r="A7" s="61" t="s">
        <v>282</v>
      </c>
      <c r="B7" s="15" t="s">
        <v>51</v>
      </c>
      <c r="C7" s="15" t="s">
        <v>48</v>
      </c>
      <c r="D7" s="80" t="s">
        <v>287</v>
      </c>
      <c r="E7" s="74">
        <v>30000</v>
      </c>
      <c r="F7" s="71">
        <f>ROUND(E7/7.5345,2)</f>
        <v>3981.68</v>
      </c>
      <c r="G7" s="72">
        <v>3981.68</v>
      </c>
      <c r="H7" s="72">
        <f>+G7-F7</f>
        <v>0</v>
      </c>
      <c r="I7" s="71">
        <v>0</v>
      </c>
      <c r="J7" s="71">
        <f>+I7-F7</f>
        <v>-3981.68</v>
      </c>
    </row>
    <row r="8" spans="1:10" ht="27" x14ac:dyDescent="0.3">
      <c r="A8" s="61" t="s">
        <v>284</v>
      </c>
      <c r="B8" s="15" t="s">
        <v>51</v>
      </c>
      <c r="C8" s="15" t="s">
        <v>48</v>
      </c>
      <c r="D8" s="28" t="s">
        <v>475</v>
      </c>
      <c r="E8" s="17">
        <v>120853.38</v>
      </c>
      <c r="F8" s="71">
        <f t="shared" ref="F8:F19" si="0">ROUND(E8/7.5345,2)</f>
        <v>16040</v>
      </c>
      <c r="G8" s="72">
        <v>13611.2</v>
      </c>
      <c r="H8" s="72">
        <f t="shared" ref="H8:H19" si="1">+G8-F8</f>
        <v>-2428.7999999999993</v>
      </c>
      <c r="I8" s="71">
        <v>12799.072267569181</v>
      </c>
      <c r="J8" s="71">
        <f t="shared" ref="J8:J10" si="2">+I8-F8</f>
        <v>-3240.9277324308187</v>
      </c>
    </row>
    <row r="9" spans="1:10" ht="27" x14ac:dyDescent="0.3">
      <c r="A9" s="61" t="s">
        <v>284</v>
      </c>
      <c r="B9" s="15" t="s">
        <v>51</v>
      </c>
      <c r="C9" s="15" t="s">
        <v>48</v>
      </c>
      <c r="D9" s="28" t="s">
        <v>476</v>
      </c>
      <c r="E9" s="17">
        <v>44152.17</v>
      </c>
      <c r="F9" s="71">
        <f t="shared" si="0"/>
        <v>5860</v>
      </c>
      <c r="G9" s="72">
        <v>6660</v>
      </c>
      <c r="H9" s="72">
        <f t="shared" si="1"/>
        <v>800</v>
      </c>
      <c r="I9" s="71">
        <v>6477.32</v>
      </c>
      <c r="J9" s="71">
        <f t="shared" si="2"/>
        <v>617.31999999999971</v>
      </c>
    </row>
    <row r="10" spans="1:10" ht="27" x14ac:dyDescent="0.3">
      <c r="A10" s="61" t="s">
        <v>284</v>
      </c>
      <c r="B10" s="15" t="s">
        <v>51</v>
      </c>
      <c r="C10" s="15" t="s">
        <v>48</v>
      </c>
      <c r="D10" s="28" t="s">
        <v>477</v>
      </c>
      <c r="E10" s="23">
        <v>0</v>
      </c>
      <c r="F10" s="71">
        <f t="shared" si="0"/>
        <v>0</v>
      </c>
      <c r="G10" s="72"/>
      <c r="H10" s="72">
        <f t="shared" si="1"/>
        <v>0</v>
      </c>
      <c r="I10" s="71"/>
      <c r="J10" s="71">
        <f t="shared" si="2"/>
        <v>0</v>
      </c>
    </row>
    <row r="11" spans="1:10" ht="27" x14ac:dyDescent="0.3">
      <c r="A11" s="61" t="s">
        <v>284</v>
      </c>
      <c r="B11" s="15" t="s">
        <v>51</v>
      </c>
      <c r="C11" s="15" t="s">
        <v>48</v>
      </c>
      <c r="D11" s="28" t="s">
        <v>478</v>
      </c>
      <c r="E11" s="23">
        <v>44994.45</v>
      </c>
      <c r="F11" s="71">
        <f t="shared" si="0"/>
        <v>5971.79</v>
      </c>
      <c r="G11" s="72">
        <v>5971.79</v>
      </c>
      <c r="H11" s="72">
        <f t="shared" si="1"/>
        <v>0</v>
      </c>
      <c r="I11" s="71">
        <v>17529.43</v>
      </c>
      <c r="J11" s="71">
        <f>+I11-F11</f>
        <v>11557.64</v>
      </c>
    </row>
    <row r="12" spans="1:10" ht="27" x14ac:dyDescent="0.3">
      <c r="A12" s="61" t="s">
        <v>284</v>
      </c>
      <c r="B12" s="15" t="s">
        <v>51</v>
      </c>
      <c r="C12" s="15" t="s">
        <v>48</v>
      </c>
      <c r="D12" s="28" t="s">
        <v>479</v>
      </c>
      <c r="E12" s="23">
        <v>51000</v>
      </c>
      <c r="F12" s="71">
        <f t="shared" si="0"/>
        <v>6768.86</v>
      </c>
      <c r="G12" s="72">
        <v>6768.86</v>
      </c>
      <c r="H12" s="72">
        <f t="shared" si="1"/>
        <v>0</v>
      </c>
      <c r="I12" s="71">
        <v>10737.160130068351</v>
      </c>
      <c r="J12" s="71">
        <f>+I12-F12</f>
        <v>3968.3001300683509</v>
      </c>
    </row>
    <row r="13" spans="1:10" ht="27" x14ac:dyDescent="0.3">
      <c r="A13" s="61" t="s">
        <v>284</v>
      </c>
      <c r="B13" s="15" t="s">
        <v>51</v>
      </c>
      <c r="C13" s="15" t="s">
        <v>48</v>
      </c>
      <c r="D13" s="28" t="s">
        <v>480</v>
      </c>
      <c r="E13" s="23">
        <v>70000</v>
      </c>
      <c r="F13" s="71">
        <f t="shared" si="0"/>
        <v>9290.6</v>
      </c>
      <c r="G13" s="72">
        <v>9290.6</v>
      </c>
      <c r="H13" s="72">
        <f t="shared" si="1"/>
        <v>0</v>
      </c>
      <c r="I13" s="71">
        <v>27705.73</v>
      </c>
      <c r="J13" s="71">
        <f>+I13-F13</f>
        <v>18415.129999999997</v>
      </c>
    </row>
    <row r="14" spans="1:10" ht="27" x14ac:dyDescent="0.3">
      <c r="A14" s="61" t="s">
        <v>284</v>
      </c>
      <c r="B14" s="15" t="s">
        <v>51</v>
      </c>
      <c r="C14" s="15" t="s">
        <v>48</v>
      </c>
      <c r="D14" s="28" t="s">
        <v>481</v>
      </c>
      <c r="E14" s="23">
        <v>35000</v>
      </c>
      <c r="F14" s="71">
        <f t="shared" si="0"/>
        <v>4645.3</v>
      </c>
      <c r="G14" s="72">
        <v>2245.3000000000002</v>
      </c>
      <c r="H14" s="72">
        <f t="shared" si="1"/>
        <v>-2400</v>
      </c>
      <c r="I14" s="71"/>
      <c r="J14" s="71">
        <f t="shared" ref="J14:J19" si="3">+I14-F14</f>
        <v>-4645.3</v>
      </c>
    </row>
    <row r="15" spans="1:10" ht="15" customHeight="1" x14ac:dyDescent="0.3">
      <c r="A15" s="61" t="s">
        <v>283</v>
      </c>
      <c r="B15" s="15" t="s">
        <v>51</v>
      </c>
      <c r="C15" s="15" t="s">
        <v>49</v>
      </c>
      <c r="D15" s="62" t="s">
        <v>288</v>
      </c>
      <c r="E15" s="22">
        <v>150000</v>
      </c>
      <c r="F15" s="71">
        <f t="shared" si="0"/>
        <v>19908.419999999998</v>
      </c>
      <c r="G15" s="72">
        <v>19908.419999999998</v>
      </c>
      <c r="H15" s="72">
        <f t="shared" si="1"/>
        <v>0</v>
      </c>
      <c r="I15" s="71">
        <v>15695.970563408322</v>
      </c>
      <c r="J15" s="71">
        <f t="shared" si="3"/>
        <v>-4212.4494365916762</v>
      </c>
    </row>
    <row r="16" spans="1:10" ht="15" customHeight="1" x14ac:dyDescent="0.3">
      <c r="A16" s="61" t="s">
        <v>286</v>
      </c>
      <c r="B16" s="15" t="s">
        <v>51</v>
      </c>
      <c r="C16" s="15" t="s">
        <v>48</v>
      </c>
      <c r="D16" s="83" t="s">
        <v>290</v>
      </c>
      <c r="E16" s="23">
        <v>40000</v>
      </c>
      <c r="F16" s="71">
        <f t="shared" si="0"/>
        <v>5308.91</v>
      </c>
      <c r="G16" s="72">
        <v>4340.04</v>
      </c>
      <c r="H16" s="72">
        <f t="shared" si="1"/>
        <v>-968.86999999999989</v>
      </c>
      <c r="I16" s="71">
        <v>15207.65683655186</v>
      </c>
      <c r="J16" s="71">
        <f t="shared" si="3"/>
        <v>9898.7468365518598</v>
      </c>
    </row>
    <row r="17" spans="1:10" ht="15" customHeight="1" x14ac:dyDescent="0.3">
      <c r="A17" s="61" t="s">
        <v>285</v>
      </c>
      <c r="B17" s="15" t="s">
        <v>51</v>
      </c>
      <c r="C17" s="15" t="s">
        <v>48</v>
      </c>
      <c r="D17" s="83" t="s">
        <v>289</v>
      </c>
      <c r="E17" s="23">
        <v>50000</v>
      </c>
      <c r="F17" s="71">
        <f t="shared" si="0"/>
        <v>6636.14</v>
      </c>
      <c r="G17" s="72">
        <v>5972.53</v>
      </c>
      <c r="H17" s="72">
        <f t="shared" si="1"/>
        <v>-663.61000000000058</v>
      </c>
      <c r="I17" s="71">
        <v>33125.933171411503</v>
      </c>
      <c r="J17" s="71">
        <f t="shared" si="3"/>
        <v>26489.793171411504</v>
      </c>
    </row>
    <row r="18" spans="1:10" ht="15" customHeight="1" x14ac:dyDescent="0.3">
      <c r="A18" s="61" t="s">
        <v>24</v>
      </c>
      <c r="B18" s="15" t="s">
        <v>51</v>
      </c>
      <c r="C18" s="15" t="s">
        <v>48</v>
      </c>
      <c r="D18" s="80" t="s">
        <v>291</v>
      </c>
      <c r="E18" s="23">
        <v>50000</v>
      </c>
      <c r="F18" s="71">
        <f t="shared" si="0"/>
        <v>6636.14</v>
      </c>
      <c r="G18" s="72">
        <v>8236.14</v>
      </c>
      <c r="H18" s="72">
        <f t="shared" si="1"/>
        <v>1599.9999999999991</v>
      </c>
      <c r="I18" s="71">
        <f>3013.0094896808+4300</f>
        <v>7313.0094896808005</v>
      </c>
      <c r="J18" s="71">
        <f t="shared" si="3"/>
        <v>676.86948968080014</v>
      </c>
    </row>
    <row r="19" spans="1:10" ht="15" customHeight="1" x14ac:dyDescent="0.3">
      <c r="A19" s="61" t="s">
        <v>24</v>
      </c>
      <c r="B19" s="15" t="s">
        <v>51</v>
      </c>
      <c r="C19" s="15" t="s">
        <v>48</v>
      </c>
      <c r="D19" s="80" t="s">
        <v>416</v>
      </c>
      <c r="E19" s="74">
        <v>25000</v>
      </c>
      <c r="F19" s="71">
        <f t="shared" si="0"/>
        <v>3318.07</v>
      </c>
      <c r="G19" s="72">
        <v>7379.36</v>
      </c>
      <c r="H19" s="72">
        <f t="shared" si="1"/>
        <v>4061.2899999999995</v>
      </c>
      <c r="I19" s="71">
        <v>931.71411507067489</v>
      </c>
      <c r="J19" s="71">
        <f t="shared" si="3"/>
        <v>-2386.3558849293254</v>
      </c>
    </row>
    <row r="20" spans="1:10" x14ac:dyDescent="0.3">
      <c r="A20" s="48"/>
      <c r="B20" s="48"/>
      <c r="C20" s="48"/>
      <c r="D20" s="49" t="s">
        <v>52</v>
      </c>
      <c r="E20" s="50">
        <f t="shared" ref="E20:J20" si="4">SUM(E7:E19)</f>
        <v>711000</v>
      </c>
      <c r="F20" s="98">
        <f t="shared" si="4"/>
        <v>94365.91</v>
      </c>
      <c r="G20" s="98">
        <f t="shared" si="4"/>
        <v>94365.92</v>
      </c>
      <c r="H20" s="98">
        <f t="shared" si="4"/>
        <v>9.9999999988540367E-3</v>
      </c>
      <c r="I20" s="98">
        <f t="shared" si="4"/>
        <v>147522.99657376067</v>
      </c>
      <c r="J20" s="98">
        <f t="shared" si="4"/>
        <v>53157.086573760695</v>
      </c>
    </row>
  </sheetData>
  <mergeCells count="2">
    <mergeCell ref="A1:E1"/>
    <mergeCell ref="E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n 84</vt:lpstr>
      <vt:lpstr>n 92</vt:lpstr>
      <vt:lpstr>n 105</vt:lpstr>
      <vt:lpstr>n 111</vt:lpstr>
      <vt:lpstr>n 114</vt:lpstr>
      <vt:lpstr>n 120</vt:lpstr>
      <vt:lpstr>n 125</vt:lpstr>
      <vt:lpstr>n 133</vt:lpstr>
      <vt:lpstr>n 139</vt:lpstr>
      <vt:lpstr>n 143</vt:lpstr>
      <vt:lpstr>n 156</vt:lpstr>
      <vt:lpstr>n 160</vt:lpstr>
      <vt:lpstr>n 170</vt:lpstr>
      <vt:lpstr>n 171</vt:lpstr>
      <vt:lpstr>n 180</vt:lpstr>
      <vt:lpstr>n 183</vt:lpstr>
      <vt:lpstr>n 186</vt:lpstr>
      <vt:lpstr>n 209</vt:lpstr>
      <vt:lpstr>n 210</vt:lpstr>
      <vt:lpstr>n 211</vt:lpstr>
      <vt:lpstr>n 213</vt:lpstr>
      <vt:lpstr>n 218</vt:lpstr>
      <vt:lpstr>n 219</vt:lpstr>
      <vt:lpstr>n 227</vt:lpstr>
      <vt:lpstr>n 228</vt:lpstr>
      <vt:lpstr>'n 120'!Print_Area</vt:lpstr>
      <vt:lpstr>'n 125'!Print_Area</vt:lpstr>
      <vt:lpstr>'n 133'!Print_Area</vt:lpstr>
      <vt:lpstr>'n 160'!Print_Area</vt:lpstr>
      <vt:lpstr>'n 186'!Print_Area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Tilić</dc:creator>
  <cp:lastModifiedBy>Matija Šikić</cp:lastModifiedBy>
  <cp:lastPrinted>2023-08-24T08:06:27Z</cp:lastPrinted>
  <dcterms:created xsi:type="dcterms:W3CDTF">2019-12-19T13:03:52Z</dcterms:created>
  <dcterms:modified xsi:type="dcterms:W3CDTF">2023-11-17T09:01:23Z</dcterms:modified>
</cp:coreProperties>
</file>